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f4cace87047f24/Documents/Parish Council - Barford/Finance/"/>
    </mc:Choice>
  </mc:AlternateContent>
  <xr:revisionPtr revIDLastSave="723" documentId="8_{3F605A28-CC75-4C25-BD37-93D265B16DD8}" xr6:coauthVersionLast="47" xr6:coauthVersionMax="47" xr10:uidLastSave="{9AB78832-A62D-4E1A-80B7-8DEFB90A6271}"/>
  <bookViews>
    <workbookView xWindow="-110" yWindow="-110" windowWidth="19420" windowHeight="10300" xr2:uid="{00000000-000D-0000-FFFF-FFFF00000000}"/>
  </bookViews>
  <sheets>
    <sheet name="Accounts 2024-25" sheetId="3" r:id="rId1"/>
    <sheet name="Income" sheetId="2" r:id="rId2"/>
    <sheet name="Expenditure" sheetId="1" r:id="rId3"/>
    <sheet name="Budget 2025-26" sheetId="8" r:id="rId4"/>
    <sheet name="Budget 2024-25" sheetId="6" r:id="rId5"/>
    <sheet name="Bank Reconciliation" sheetId="4" r:id="rId6"/>
    <sheet name="Budget 2023-24" sheetId="5" r:id="rId7"/>
  </sheets>
  <definedNames>
    <definedName name="_xlnm.Print_Area" localSheetId="0">'Accounts 2024-25'!$A$1:$L$53</definedName>
    <definedName name="_xlnm.Print_Area" localSheetId="6">'Budget 2023-24'!$A$1:$L$47</definedName>
    <definedName name="_xlnm.Print_Area" localSheetId="4">'Budget 2024-25'!$A$1:$L$52</definedName>
    <definedName name="_xlnm.Print_Area" localSheetId="3">'Budget 2025-26'!$A$1:$L$52</definedName>
    <definedName name="_xlnm.Print_Area" localSheetId="2">Expenditure!$A$1:$Z$85</definedName>
    <definedName name="_xlnm.Print_Area" localSheetId="1">Income!$A$1:$N$33</definedName>
    <definedName name="_xlnm.Print_Titles" localSheetId="2">Expenditure!$1:$1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2" i="2" l="1"/>
  <c r="K20" i="2"/>
  <c r="K19" i="2"/>
  <c r="K68" i="1"/>
  <c r="K69" i="1"/>
  <c r="M70" i="1"/>
  <c r="J71" i="1"/>
  <c r="J72" i="1"/>
  <c r="I73" i="1"/>
  <c r="M73" i="1"/>
  <c r="J74" i="1"/>
  <c r="J75" i="1"/>
  <c r="S76" i="1"/>
  <c r="R77" i="1"/>
  <c r="I76" i="1"/>
  <c r="S67" i="1"/>
  <c r="I67" i="1"/>
  <c r="H47" i="1"/>
  <c r="Z47" i="1" s="1"/>
  <c r="J65" i="1"/>
  <c r="J64" i="1"/>
  <c r="K63" i="1"/>
  <c r="J62" i="1"/>
  <c r="W61" i="1"/>
  <c r="N54" i="1"/>
  <c r="I60" i="1"/>
  <c r="Q60" i="1"/>
  <c r="Z59" i="1"/>
  <c r="I59" i="1"/>
  <c r="J57" i="1"/>
  <c r="K56" i="1"/>
  <c r="R50" i="1"/>
  <c r="S66" i="1"/>
  <c r="G23" i="2"/>
  <c r="I66" i="1"/>
  <c r="S58" i="1"/>
  <c r="S55" i="1"/>
  <c r="I55" i="1"/>
  <c r="J52" i="1"/>
  <c r="J49" i="1"/>
  <c r="J48" i="1"/>
  <c r="K46" i="1"/>
  <c r="I44" i="1"/>
  <c r="S44" i="1"/>
  <c r="J24" i="2"/>
  <c r="J21" i="2"/>
  <c r="F39" i="8"/>
  <c r="B36" i="8"/>
  <c r="H21" i="8"/>
  <c r="H20" i="8"/>
  <c r="H18" i="8"/>
  <c r="F21" i="8"/>
  <c r="F20" i="8"/>
  <c r="G54" i="8"/>
  <c r="D51" i="8"/>
  <c r="D49" i="8"/>
  <c r="B48" i="8"/>
  <c r="D47" i="8"/>
  <c r="D46" i="8"/>
  <c r="D48" i="8" s="1"/>
  <c r="D50" i="8" s="1"/>
  <c r="D52" i="8" s="1"/>
  <c r="C34" i="8"/>
  <c r="B34" i="8"/>
  <c r="B42" i="8" s="1"/>
  <c r="C14" i="8"/>
  <c r="B14" i="8"/>
  <c r="B40" i="8" s="1"/>
  <c r="B41" i="8" s="1"/>
  <c r="B43" i="8" l="1"/>
  <c r="D39" i="8" s="1"/>
  <c r="J16" i="2"/>
  <c r="K18" i="2"/>
  <c r="S42" i="1"/>
  <c r="I42" i="1"/>
  <c r="Q38" i="1"/>
  <c r="T53" i="1"/>
  <c r="J51" i="1"/>
  <c r="K45" i="1"/>
  <c r="R43" i="1"/>
  <c r="R41" i="1"/>
  <c r="R40" i="1"/>
  <c r="Z39" i="1"/>
  <c r="J37" i="1"/>
  <c r="J36" i="1"/>
  <c r="K35" i="1"/>
  <c r="S34" i="1"/>
  <c r="Q33" i="1"/>
  <c r="J32" i="1"/>
  <c r="J31" i="1"/>
  <c r="V30" i="1"/>
  <c r="J29" i="1"/>
  <c r="J28" i="1"/>
  <c r="K27" i="1"/>
  <c r="K26" i="1"/>
  <c r="S25" i="1"/>
  <c r="Q24" i="1"/>
  <c r="L23" i="1"/>
  <c r="Z22" i="1"/>
  <c r="J21" i="1"/>
  <c r="J20" i="1"/>
  <c r="Q19" i="1"/>
  <c r="J18" i="1"/>
  <c r="J17" i="1"/>
  <c r="K16" i="1"/>
  <c r="K15" i="1"/>
  <c r="S14" i="1"/>
  <c r="S13" i="1"/>
  <c r="J12" i="1"/>
  <c r="J10" i="1"/>
  <c r="Q9" i="1"/>
  <c r="Q8" i="1"/>
  <c r="W7" i="1"/>
  <c r="I7" i="1"/>
  <c r="J6" i="1"/>
  <c r="J5" i="1"/>
  <c r="K4" i="1"/>
  <c r="K3" i="1"/>
  <c r="I2" i="1" l="1"/>
  <c r="S2" i="1"/>
  <c r="E17" i="2"/>
  <c r="K15" i="2"/>
  <c r="K14" i="2"/>
  <c r="K12" i="2"/>
  <c r="K11" i="2"/>
  <c r="K10" i="2"/>
  <c r="K9" i="2"/>
  <c r="K8" i="2"/>
  <c r="K7" i="2"/>
  <c r="F6" i="2"/>
  <c r="K5" i="2"/>
  <c r="K4" i="2"/>
  <c r="I34" i="1"/>
  <c r="I8" i="1"/>
  <c r="I9" i="1"/>
  <c r="H11" i="1"/>
  <c r="T11" i="1" s="1"/>
  <c r="I13" i="1"/>
  <c r="I14" i="1"/>
  <c r="I19" i="1"/>
  <c r="I24" i="1"/>
  <c r="I25" i="1"/>
  <c r="I30" i="1"/>
  <c r="I33" i="1"/>
  <c r="I38" i="1"/>
  <c r="I39" i="1"/>
  <c r="I53" i="1"/>
  <c r="J13" i="2"/>
  <c r="I3" i="2"/>
  <c r="E2" i="2"/>
  <c r="G54" i="6"/>
  <c r="D48" i="6"/>
  <c r="D50" i="6" s="1"/>
  <c r="D52" i="6" s="1"/>
  <c r="B48" i="6"/>
  <c r="G44" i="6"/>
  <c r="G42" i="6"/>
  <c r="B42" i="6"/>
  <c r="G40" i="6"/>
  <c r="G41" i="6" s="1"/>
  <c r="G43" i="6" s="1"/>
  <c r="G37" i="6"/>
  <c r="C34" i="6"/>
  <c r="B34" i="6"/>
  <c r="G31" i="6"/>
  <c r="H28" i="6"/>
  <c r="G27" i="6"/>
  <c r="H25" i="6"/>
  <c r="F22" i="6"/>
  <c r="H22" i="6" s="1"/>
  <c r="H20" i="6"/>
  <c r="H18" i="6"/>
  <c r="G18" i="6"/>
  <c r="C14" i="6"/>
  <c r="B14" i="6"/>
  <c r="B40" i="6" s="1"/>
  <c r="B41" i="6" s="1"/>
  <c r="B43" i="6" s="1"/>
  <c r="F7" i="6"/>
  <c r="D20" i="4"/>
  <c r="D12" i="4"/>
  <c r="I51" i="5"/>
  <c r="B47" i="5"/>
  <c r="I43" i="5"/>
  <c r="I41" i="5"/>
  <c r="I40" i="5"/>
  <c r="I42" i="5" s="1"/>
  <c r="I39" i="5"/>
  <c r="I36" i="5"/>
  <c r="F33" i="5"/>
  <c r="E33" i="5"/>
  <c r="D33" i="5"/>
  <c r="C33" i="5"/>
  <c r="B33" i="5"/>
  <c r="B41" i="5" s="1"/>
  <c r="K32" i="5"/>
  <c r="K31" i="5"/>
  <c r="H31" i="5"/>
  <c r="K30" i="5"/>
  <c r="I30" i="5"/>
  <c r="H30" i="5"/>
  <c r="K29" i="5"/>
  <c r="L29" i="5" s="1"/>
  <c r="H29" i="5"/>
  <c r="I29" i="5" s="1"/>
  <c r="L28" i="5"/>
  <c r="K28" i="5"/>
  <c r="H28" i="5"/>
  <c r="K27" i="5"/>
  <c r="L27" i="5" s="1"/>
  <c r="J27" i="5"/>
  <c r="H27" i="5"/>
  <c r="K26" i="5"/>
  <c r="I26" i="5"/>
  <c r="K25" i="5"/>
  <c r="L25" i="5" s="1"/>
  <c r="H25" i="5"/>
  <c r="J25" i="5" s="1"/>
  <c r="L24" i="5"/>
  <c r="K24" i="5"/>
  <c r="J24" i="5"/>
  <c r="H24" i="5"/>
  <c r="H33" i="5" s="1"/>
  <c r="H41" i="5" s="1"/>
  <c r="K23" i="5"/>
  <c r="L23" i="5" s="1"/>
  <c r="H23" i="5"/>
  <c r="K22" i="5"/>
  <c r="H22" i="5"/>
  <c r="K21" i="5"/>
  <c r="L21" i="5" s="1"/>
  <c r="J21" i="5"/>
  <c r="H21" i="5"/>
  <c r="K20" i="5"/>
  <c r="H20" i="5"/>
  <c r="K19" i="5"/>
  <c r="L19" i="5" s="1"/>
  <c r="H19" i="5"/>
  <c r="J19" i="5" s="1"/>
  <c r="L18" i="5"/>
  <c r="K18" i="5"/>
  <c r="J18" i="5"/>
  <c r="H18" i="5"/>
  <c r="J17" i="5"/>
  <c r="I17" i="5"/>
  <c r="H17" i="5"/>
  <c r="K16" i="5"/>
  <c r="L16" i="5" s="1"/>
  <c r="J16" i="5"/>
  <c r="J33" i="5" s="1"/>
  <c r="J41" i="5" s="1"/>
  <c r="I16" i="5"/>
  <c r="H16" i="5"/>
  <c r="J13" i="5"/>
  <c r="J39" i="5" s="1"/>
  <c r="F13" i="5"/>
  <c r="K13" i="5" s="1"/>
  <c r="L13" i="5" s="1"/>
  <c r="D13" i="5"/>
  <c r="C13" i="5"/>
  <c r="B13" i="5"/>
  <c r="B39" i="5" s="1"/>
  <c r="B40" i="5" s="1"/>
  <c r="B42" i="5" s="1"/>
  <c r="H38" i="5" s="1"/>
  <c r="K12" i="5"/>
  <c r="I12" i="5"/>
  <c r="H12" i="5"/>
  <c r="K11" i="5"/>
  <c r="H11" i="5"/>
  <c r="H10" i="5"/>
  <c r="H13" i="5" s="1"/>
  <c r="H39" i="5" s="1"/>
  <c r="K10" i="5"/>
  <c r="K9" i="5"/>
  <c r="L9" i="5" s="1"/>
  <c r="H9" i="5"/>
  <c r="K8" i="5"/>
  <c r="L8" i="5" s="1"/>
  <c r="H8" i="5"/>
  <c r="L7" i="5"/>
  <c r="K7" i="5"/>
  <c r="H7" i="5"/>
  <c r="K6" i="5"/>
  <c r="H6" i="5"/>
  <c r="K5" i="5"/>
  <c r="L5" i="5" s="1"/>
  <c r="H5" i="5"/>
  <c r="L4" i="5"/>
  <c r="K4" i="5"/>
  <c r="H4" i="5"/>
  <c r="I11" i="1" l="1"/>
  <c r="F39" i="6"/>
  <c r="D39" i="6"/>
  <c r="D49" i="3"/>
  <c r="D51" i="3" s="1"/>
  <c r="D53" i="3" s="1"/>
  <c r="H40" i="5"/>
  <c r="H42" i="5" s="1"/>
  <c r="J38" i="5" s="1"/>
  <c r="J40" i="5" s="1"/>
  <c r="J42" i="5" s="1"/>
  <c r="K33" i="5"/>
  <c r="L33" i="5" s="1"/>
  <c r="G55" i="3"/>
  <c r="C35" i="3" l="1"/>
  <c r="C15" i="3"/>
  <c r="B35" i="3"/>
  <c r="B43" i="3" s="1"/>
  <c r="B15" i="3"/>
  <c r="B41" i="3" s="1"/>
  <c r="H80" i="1" l="1"/>
  <c r="U80" i="1"/>
  <c r="Y80" i="1"/>
  <c r="Z80" i="1"/>
  <c r="G80" i="1"/>
  <c r="D33" i="6" l="1"/>
  <c r="I33" i="6" s="1"/>
  <c r="D33" i="8"/>
  <c r="D32" i="6"/>
  <c r="I32" i="6" s="1"/>
  <c r="D32" i="8"/>
  <c r="I32" i="8" s="1"/>
  <c r="D27" i="6"/>
  <c r="I27" i="6" s="1"/>
  <c r="D27" i="8"/>
  <c r="I27" i="8" s="1"/>
  <c r="O80" i="1"/>
  <c r="F33" i="6" l="1"/>
  <c r="D23" i="6"/>
  <c r="I23" i="6" s="1"/>
  <c r="D23" i="8"/>
  <c r="I23" i="8" s="1"/>
  <c r="I33" i="8"/>
  <c r="F33" i="8"/>
  <c r="D24" i="3"/>
  <c r="P80" i="1"/>
  <c r="W80" i="1"/>
  <c r="V80" i="1"/>
  <c r="L80" i="1"/>
  <c r="S80" i="1"/>
  <c r="M80" i="1"/>
  <c r="D20" i="6" l="1"/>
  <c r="I20" i="6" s="1"/>
  <c r="J20" i="6" s="1"/>
  <c r="D20" i="8"/>
  <c r="D19" i="6"/>
  <c r="I19" i="6" s="1"/>
  <c r="J19" i="6" s="1"/>
  <c r="D19" i="8"/>
  <c r="D25" i="6"/>
  <c r="I25" i="6" s="1"/>
  <c r="J25" i="6" s="1"/>
  <c r="D25" i="8"/>
  <c r="D28" i="6"/>
  <c r="I28" i="6" s="1"/>
  <c r="J28" i="6" s="1"/>
  <c r="D28" i="8"/>
  <c r="D29" i="6"/>
  <c r="I29" i="6" s="1"/>
  <c r="J29" i="6" s="1"/>
  <c r="D29" i="8"/>
  <c r="I24" i="3"/>
  <c r="T80" i="1"/>
  <c r="N80" i="1"/>
  <c r="R80" i="1"/>
  <c r="J80" i="1"/>
  <c r="Q80" i="1"/>
  <c r="K80" i="1"/>
  <c r="X80" i="1"/>
  <c r="I19" i="8" l="1"/>
  <c r="J19" i="8" s="1"/>
  <c r="F19" i="8"/>
  <c r="H19" i="8" s="1"/>
  <c r="F19" i="6"/>
  <c r="H19" i="6" s="1"/>
  <c r="I29" i="8"/>
  <c r="J29" i="8" s="1"/>
  <c r="F29" i="8"/>
  <c r="D31" i="6"/>
  <c r="I31" i="6" s="1"/>
  <c r="D31" i="8"/>
  <c r="I31" i="8" s="1"/>
  <c r="I28" i="8"/>
  <c r="J28" i="8" s="1"/>
  <c r="F28" i="8"/>
  <c r="H28" i="8" s="1"/>
  <c r="D24" i="6"/>
  <c r="F24" i="6" s="1"/>
  <c r="D24" i="8"/>
  <c r="D21" i="6"/>
  <c r="I21" i="6" s="1"/>
  <c r="D21" i="8"/>
  <c r="I21" i="8" s="1"/>
  <c r="D26" i="6"/>
  <c r="I26" i="6" s="1"/>
  <c r="J26" i="6" s="1"/>
  <c r="D26" i="8"/>
  <c r="I20" i="8"/>
  <c r="J20" i="8" s="1"/>
  <c r="D18" i="6"/>
  <c r="D18" i="8"/>
  <c r="D22" i="6"/>
  <c r="I22" i="6" s="1"/>
  <c r="J22" i="6" s="1"/>
  <c r="D22" i="8"/>
  <c r="I22" i="8" s="1"/>
  <c r="J22" i="8" s="1"/>
  <c r="I25" i="8"/>
  <c r="J25" i="8" s="1"/>
  <c r="F25" i="8"/>
  <c r="H25" i="8" s="1"/>
  <c r="D17" i="6"/>
  <c r="F17" i="6" s="1"/>
  <c r="D17" i="8"/>
  <c r="D19" i="3"/>
  <c r="I24" i="6" l="1"/>
  <c r="J24" i="6" s="1"/>
  <c r="I17" i="6"/>
  <c r="J17" i="6" s="1"/>
  <c r="I26" i="8"/>
  <c r="J26" i="8" s="1"/>
  <c r="F26" i="8"/>
  <c r="H26" i="8" s="1"/>
  <c r="I17" i="8"/>
  <c r="J17" i="8" s="1"/>
  <c r="F17" i="8"/>
  <c r="F24" i="8"/>
  <c r="H24" i="8" s="1"/>
  <c r="I24" i="8"/>
  <c r="J24" i="8" s="1"/>
  <c r="F26" i="6"/>
  <c r="H26" i="6" s="1"/>
  <c r="H17" i="6"/>
  <c r="G17" i="6"/>
  <c r="I80" i="1"/>
  <c r="H34" i="6" l="1"/>
  <c r="H42" i="6" s="1"/>
  <c r="D30" i="6"/>
  <c r="F30" i="6" s="1"/>
  <c r="D30" i="8"/>
  <c r="H17" i="8"/>
  <c r="H34" i="8" s="1"/>
  <c r="H42" i="8" s="1"/>
  <c r="F34" i="8"/>
  <c r="F42" i="8" s="1"/>
  <c r="D29" i="3"/>
  <c r="I30" i="8" l="1"/>
  <c r="J30" i="8" s="1"/>
  <c r="D34" i="8"/>
  <c r="D34" i="6"/>
  <c r="D42" i="6" s="1"/>
  <c r="F13" i="6"/>
  <c r="G13" i="6" s="1"/>
  <c r="I30" i="6"/>
  <c r="J30" i="6" s="1"/>
  <c r="G30" i="6"/>
  <c r="F34" i="6"/>
  <c r="F42" i="6" s="1"/>
  <c r="I29" i="3"/>
  <c r="J29" i="3" s="1"/>
  <c r="B49" i="3"/>
  <c r="I34" i="6" l="1"/>
  <c r="J34" i="6" s="1"/>
  <c r="I34" i="8"/>
  <c r="J34" i="8" s="1"/>
  <c r="D42" i="8"/>
  <c r="B42" i="3"/>
  <c r="L29" i="2"/>
  <c r="K29" i="2"/>
  <c r="E29" i="2"/>
  <c r="G29" i="2"/>
  <c r="D7" i="3" s="1"/>
  <c r="F29" i="2"/>
  <c r="H29" i="2"/>
  <c r="I29" i="2"/>
  <c r="J29" i="2"/>
  <c r="M29" i="2"/>
  <c r="N29" i="2"/>
  <c r="D26" i="4"/>
  <c r="D4" i="4"/>
  <c r="D29" i="2"/>
  <c r="D8" i="6" l="1"/>
  <c r="I8" i="6" s="1"/>
  <c r="J8" i="6" s="1"/>
  <c r="D8" i="8"/>
  <c r="D7" i="6"/>
  <c r="D7" i="8"/>
  <c r="I7" i="8" s="1"/>
  <c r="D6" i="6"/>
  <c r="F6" i="6" s="1"/>
  <c r="D6" i="8"/>
  <c r="D10" i="6"/>
  <c r="H10" i="6" s="1"/>
  <c r="H14" i="6" s="1"/>
  <c r="H40" i="6" s="1"/>
  <c r="D10" i="8"/>
  <c r="D11" i="6"/>
  <c r="I11" i="6" s="1"/>
  <c r="D11" i="8"/>
  <c r="I11" i="8" s="1"/>
  <c r="D13" i="6"/>
  <c r="I13" i="6" s="1"/>
  <c r="D13" i="8"/>
  <c r="I13" i="8" s="1"/>
  <c r="D12" i="6"/>
  <c r="I12" i="6" s="1"/>
  <c r="D12" i="8"/>
  <c r="I12" i="8" s="1"/>
  <c r="D5" i="6"/>
  <c r="I5" i="6" s="1"/>
  <c r="J5" i="6" s="1"/>
  <c r="D5" i="8"/>
  <c r="D9" i="6"/>
  <c r="I9" i="6" s="1"/>
  <c r="J9" i="6" s="1"/>
  <c r="D9" i="8"/>
  <c r="I10" i="6"/>
  <c r="J10" i="6" s="1"/>
  <c r="I7" i="6"/>
  <c r="D13" i="4"/>
  <c r="D21" i="4" s="1"/>
  <c r="D27" i="4" s="1"/>
  <c r="B44" i="3"/>
  <c r="D13" i="3"/>
  <c r="D14" i="3"/>
  <c r="D10" i="3"/>
  <c r="D12" i="3"/>
  <c r="D11" i="3"/>
  <c r="D8" i="3"/>
  <c r="D6" i="3"/>
  <c r="D9" i="3"/>
  <c r="D30" i="2"/>
  <c r="D31" i="2" s="1"/>
  <c r="D33" i="3"/>
  <c r="D34" i="3"/>
  <c r="D20" i="3"/>
  <c r="D23" i="3"/>
  <c r="D22" i="3"/>
  <c r="D28" i="3"/>
  <c r="D27" i="3"/>
  <c r="D32" i="3"/>
  <c r="D25" i="3"/>
  <c r="P29" i="2"/>
  <c r="D5" i="3"/>
  <c r="F10" i="6" l="1"/>
  <c r="I10" i="8"/>
  <c r="J10" i="8" s="1"/>
  <c r="F10" i="8"/>
  <c r="H10" i="8" s="1"/>
  <c r="I6" i="6"/>
  <c r="J6" i="6" s="1"/>
  <c r="I6" i="8"/>
  <c r="J6" i="8" s="1"/>
  <c r="F6" i="8"/>
  <c r="H6" i="8" s="1"/>
  <c r="F5" i="6"/>
  <c r="I8" i="8"/>
  <c r="J8" i="8" s="1"/>
  <c r="F8" i="8"/>
  <c r="H8" i="8" s="1"/>
  <c r="F5" i="8"/>
  <c r="I5" i="8"/>
  <c r="J5" i="8" s="1"/>
  <c r="D14" i="6"/>
  <c r="D40" i="6" s="1"/>
  <c r="D41" i="6" s="1"/>
  <c r="D43" i="6" s="1"/>
  <c r="F9" i="6"/>
  <c r="I9" i="8"/>
  <c r="J9" i="8" s="1"/>
  <c r="D14" i="8"/>
  <c r="D40" i="3"/>
  <c r="I13" i="3"/>
  <c r="I34" i="3"/>
  <c r="I33" i="3"/>
  <c r="I23" i="3"/>
  <c r="J23" i="3" s="1"/>
  <c r="I27" i="3"/>
  <c r="J27" i="3" s="1"/>
  <c r="I22" i="3"/>
  <c r="I20" i="3"/>
  <c r="J20" i="3" s="1"/>
  <c r="I25" i="3"/>
  <c r="J25" i="3" s="1"/>
  <c r="I9" i="3"/>
  <c r="J9" i="3" s="1"/>
  <c r="D15" i="3"/>
  <c r="D41" i="3" s="1"/>
  <c r="I28" i="3"/>
  <c r="I11" i="3"/>
  <c r="J11" i="3" s="1"/>
  <c r="I6" i="3"/>
  <c r="J6" i="3" s="1"/>
  <c r="I10" i="3"/>
  <c r="J10" i="3" s="1"/>
  <c r="I8" i="3"/>
  <c r="I14" i="3"/>
  <c r="I12" i="3"/>
  <c r="I32" i="3"/>
  <c r="D21" i="3"/>
  <c r="D26" i="3"/>
  <c r="D30" i="3"/>
  <c r="D18" i="3"/>
  <c r="G81" i="1"/>
  <c r="G82" i="1" s="1"/>
  <c r="I5" i="3"/>
  <c r="J5" i="3" s="1"/>
  <c r="AA80" i="1"/>
  <c r="D31" i="3"/>
  <c r="F14" i="6" l="1"/>
  <c r="F40" i="6" s="1"/>
  <c r="F41" i="6" s="1"/>
  <c r="F43" i="6" s="1"/>
  <c r="H39" i="6" s="1"/>
  <c r="H41" i="6" s="1"/>
  <c r="H43" i="6" s="1"/>
  <c r="F14" i="8"/>
  <c r="H5" i="8"/>
  <c r="H14" i="8" s="1"/>
  <c r="I14" i="6"/>
  <c r="J14" i="6" s="1"/>
  <c r="D36" i="8"/>
  <c r="I14" i="8"/>
  <c r="J14" i="8" s="1"/>
  <c r="D40" i="8"/>
  <c r="D41" i="8" s="1"/>
  <c r="D43" i="8" s="1"/>
  <c r="D42" i="3"/>
  <c r="D35" i="3"/>
  <c r="D43" i="3" s="1"/>
  <c r="I30" i="3"/>
  <c r="J30" i="3" s="1"/>
  <c r="I26" i="3"/>
  <c r="J26" i="3" s="1"/>
  <c r="I21" i="3"/>
  <c r="J21" i="3" s="1"/>
  <c r="I31" i="3"/>
  <c r="J31" i="3" s="1"/>
  <c r="I15" i="3"/>
  <c r="J15" i="3" s="1"/>
  <c r="I18" i="3"/>
  <c r="J18" i="3" s="1"/>
  <c r="H40" i="8" l="1"/>
  <c r="H36" i="8"/>
  <c r="F36" i="8"/>
  <c r="F40" i="8"/>
  <c r="F41" i="8" s="1"/>
  <c r="F43" i="8" s="1"/>
  <c r="H39" i="8" s="1"/>
  <c r="D44" i="3"/>
  <c r="I35" i="3"/>
  <c r="J35" i="3" s="1"/>
  <c r="H41" i="8" l="1"/>
  <c r="H43" i="8" s="1"/>
</calcChain>
</file>

<file path=xl/sharedStrings.xml><?xml version="1.0" encoding="utf-8"?>
<sst xmlns="http://schemas.openxmlformats.org/spreadsheetml/2006/main" count="447" uniqueCount="192">
  <si>
    <t>HMRC</t>
  </si>
  <si>
    <t>Payroll</t>
  </si>
  <si>
    <t>Other</t>
  </si>
  <si>
    <t>Insurance</t>
  </si>
  <si>
    <t>Subscriptions</t>
  </si>
  <si>
    <t>Grass Cutting</t>
  </si>
  <si>
    <t>Grants</t>
  </si>
  <si>
    <t>Play Area</t>
  </si>
  <si>
    <t>VAT</t>
  </si>
  <si>
    <t>Village Hall</t>
  </si>
  <si>
    <t>Elections</t>
  </si>
  <si>
    <t>Street Furniture</t>
  </si>
  <si>
    <t>£</t>
  </si>
  <si>
    <t>Precept</t>
  </si>
  <si>
    <t>Grants - Grass Cutting</t>
  </si>
  <si>
    <t>Grants - Miscellaneous</t>
  </si>
  <si>
    <t>Wayleaves</t>
  </si>
  <si>
    <t>Bank Interest</t>
  </si>
  <si>
    <t>Allotment Fees</t>
  </si>
  <si>
    <t>VAT Refund</t>
  </si>
  <si>
    <t>Payee</t>
  </si>
  <si>
    <t>Dog Bin Emptying</t>
  </si>
  <si>
    <t>Allotment Expenses</t>
  </si>
  <si>
    <t>From</t>
  </si>
  <si>
    <t>D Best</t>
  </si>
  <si>
    <t>Date Credited to Bank Account</t>
  </si>
  <si>
    <t>Receipts</t>
  </si>
  <si>
    <t>Total</t>
  </si>
  <si>
    <t>Payments</t>
  </si>
  <si>
    <t>+/- PY</t>
  </si>
  <si>
    <t>Clerk's Salary incl. NI</t>
  </si>
  <si>
    <t>Dog Waste Bins</t>
  </si>
  <si>
    <t>Other Payments</t>
  </si>
  <si>
    <t>Cash in Bank</t>
  </si>
  <si>
    <t>Community Account</t>
  </si>
  <si>
    <t>Business Saver Account</t>
  </si>
  <si>
    <t>Ex
VAT</t>
  </si>
  <si>
    <t>Community Account  ( 80706973)</t>
  </si>
  <si>
    <t>Business Saver Account (80401765)</t>
  </si>
  <si>
    <t>Less: Unpresented cheques</t>
  </si>
  <si>
    <t>Detail</t>
  </si>
  <si>
    <t>Add: Short term investments</t>
  </si>
  <si>
    <t>What is the figure in Box 8 in section 2 of the annual return ?</t>
  </si>
  <si>
    <t>Does the total equal Box 8 in section 2 of the annual return ?</t>
  </si>
  <si>
    <t>Wayleaves - West Close</t>
  </si>
  <si>
    <t>-100%</t>
  </si>
  <si>
    <t>Zurich</t>
  </si>
  <si>
    <t>Invoice Date</t>
  </si>
  <si>
    <t>Less:Precept</t>
  </si>
  <si>
    <t>Less:Staff Costs</t>
  </si>
  <si>
    <t>Expenses
(administration)</t>
  </si>
  <si>
    <t>+/- %</t>
  </si>
  <si>
    <t>Play Area Inspection</t>
  </si>
  <si>
    <t>Donations</t>
  </si>
  <si>
    <t>Barclays</t>
  </si>
  <si>
    <t>Date Banked</t>
  </si>
  <si>
    <t>Pay - May</t>
  </si>
  <si>
    <t>Allotment Rents</t>
  </si>
  <si>
    <t>S137 Grants</t>
  </si>
  <si>
    <t>VAT Reclaim</t>
  </si>
  <si>
    <t>Repairs/ Pruning</t>
  </si>
  <si>
    <t>Repirs/ Pruning</t>
  </si>
  <si>
    <t>Audit &amp; ICO Fees</t>
  </si>
  <si>
    <t>Subscriptions (OALC, CFO, ICO)</t>
  </si>
  <si>
    <t>Audit fees</t>
  </si>
  <si>
    <t>Play Equipment/Reps</t>
  </si>
  <si>
    <t>Miscellaneous</t>
  </si>
  <si>
    <t>Pay - Mar</t>
  </si>
  <si>
    <t>PAYE - Mar</t>
  </si>
  <si>
    <t>Thomas Fox</t>
  </si>
  <si>
    <t>PAYE - May</t>
  </si>
  <si>
    <t>OCC</t>
  </si>
  <si>
    <t>2021-22</t>
  </si>
  <si>
    <t>Play Equipment &amp; Maintenance</t>
  </si>
  <si>
    <t>FY</t>
  </si>
  <si>
    <t>Budget</t>
  </si>
  <si>
    <t>YTD</t>
  </si>
  <si>
    <t>Forecast YE</t>
  </si>
  <si>
    <t>2022-23</t>
  </si>
  <si>
    <t>Play Area (Inspection reimbursement)</t>
  </si>
  <si>
    <t>VAT No.</t>
  </si>
  <si>
    <t>Total Cash in Bank</t>
  </si>
  <si>
    <t>2023-24</t>
  </si>
  <si>
    <t>Castle Water</t>
  </si>
  <si>
    <t>Clerk's Expenses &amp; Admin</t>
  </si>
  <si>
    <t>Balance Brought Forward</t>
  </si>
  <si>
    <t>Add:Receipts</t>
  </si>
  <si>
    <t>Less: Payments</t>
  </si>
  <si>
    <t>Balance Carried Forward</t>
  </si>
  <si>
    <t>Nicholls</t>
  </si>
  <si>
    <t>PAYE - Apr</t>
  </si>
  <si>
    <t>Allotment Water</t>
  </si>
  <si>
    <t>Add: Uncleared payments</t>
  </si>
  <si>
    <t>Add: Unpresented cash</t>
  </si>
  <si>
    <t>Adjusted Bank Balance</t>
  </si>
  <si>
    <t>CDC</t>
  </si>
  <si>
    <t>Playsafety</t>
  </si>
  <si>
    <t>Interest</t>
  </si>
  <si>
    <t>Pay - Jul</t>
  </si>
  <si>
    <t>2024-25</t>
  </si>
  <si>
    <t>+5%</t>
  </si>
  <si>
    <t>Cubiculo</t>
  </si>
  <si>
    <t>Wayleave</t>
  </si>
  <si>
    <t xml:space="preserve">2024-25 </t>
  </si>
  <si>
    <t>FY Forecast</t>
  </si>
  <si>
    <t>National Grid</t>
  </si>
  <si>
    <t>C Elliott</t>
  </si>
  <si>
    <t>Allotment Rent</t>
  </si>
  <si>
    <t>NW Belson</t>
  </si>
  <si>
    <t>Grass cutting grant</t>
  </si>
  <si>
    <t>J Turner</t>
  </si>
  <si>
    <t>N Dowland</t>
  </si>
  <si>
    <t>A Norman</t>
  </si>
  <si>
    <t>J Giles</t>
  </si>
  <si>
    <t>P Preece</t>
  </si>
  <si>
    <t>B Fryer</t>
  </si>
  <si>
    <t>Homeworking - Feb</t>
  </si>
  <si>
    <t>Homeworking - Mar</t>
  </si>
  <si>
    <t>PAYE - Feb</t>
  </si>
  <si>
    <t>S Turner</t>
  </si>
  <si>
    <t>Inv 39842</t>
  </si>
  <si>
    <t>Pay - Feb</t>
  </si>
  <si>
    <t>Homeworking - Apr</t>
  </si>
  <si>
    <t>Homeworking - May</t>
  </si>
  <si>
    <t>Inv 40028</t>
  </si>
  <si>
    <t>Pay - June</t>
  </si>
  <si>
    <t>Wood Treatment of St Furniture</t>
  </si>
  <si>
    <t xml:space="preserve">Thomas Fox </t>
  </si>
  <si>
    <t>Inv 40375</t>
  </si>
  <si>
    <t>Homeworking - June</t>
  </si>
  <si>
    <t>Homeworking - July</t>
  </si>
  <si>
    <t>PAYE - June</t>
  </si>
  <si>
    <t>PAYE - July</t>
  </si>
  <si>
    <t>Inspection</t>
  </si>
  <si>
    <t>Inv 40637</t>
  </si>
  <si>
    <t>J Holmes</t>
  </si>
  <si>
    <t>Inv 41086</t>
  </si>
  <si>
    <t>Kingfisher</t>
  </si>
  <si>
    <t>Rubbish Bins</t>
  </si>
  <si>
    <t>Barford News</t>
  </si>
  <si>
    <t>Barford Churches</t>
  </si>
  <si>
    <t>Pay - Aug</t>
  </si>
  <si>
    <t>PAYE Aug</t>
  </si>
  <si>
    <t>Homeworking Aug</t>
  </si>
  <si>
    <t>PAYE - Sept</t>
  </si>
  <si>
    <t>Pay - Sept</t>
  </si>
  <si>
    <t>Homeworking - Sept</t>
  </si>
  <si>
    <t>PAYE</t>
  </si>
  <si>
    <t>Tree Signs</t>
  </si>
  <si>
    <t>C Alsworth</t>
  </si>
  <si>
    <t>Homeworking - Oct</t>
  </si>
  <si>
    <t>PAYE - Oct</t>
  </si>
  <si>
    <t>Pay - Oct</t>
  </si>
  <si>
    <t>2025-26</t>
  </si>
  <si>
    <t xml:space="preserve">2025-26 </t>
  </si>
  <si>
    <t>Assumption</t>
  </si>
  <si>
    <t>Quote</t>
  </si>
  <si>
    <t>Excess of Income over expenditure</t>
  </si>
  <si>
    <t xml:space="preserve"> Turner</t>
  </si>
  <si>
    <t>ICO</t>
  </si>
  <si>
    <t>Subscription</t>
  </si>
  <si>
    <t>Homeworking-Nov</t>
  </si>
  <si>
    <t>PAYE Nov</t>
  </si>
  <si>
    <t>Bennet &amp; Alt</t>
  </si>
  <si>
    <t>Rent of Allotment field</t>
  </si>
  <si>
    <t>Reimburse XmasLights</t>
  </si>
  <si>
    <t>ThomasFox</t>
  </si>
  <si>
    <t>Brethertons</t>
  </si>
  <si>
    <t>Registration of Sonepit field</t>
  </si>
  <si>
    <t>November pay</t>
  </si>
  <si>
    <t>December Homeworking</t>
  </si>
  <si>
    <t>December PAYE</t>
  </si>
  <si>
    <t>December Pay</t>
  </si>
  <si>
    <t>Defib Grant</t>
  </si>
  <si>
    <t>Inv 39574</t>
  </si>
  <si>
    <t>Reimburse Wreaths</t>
  </si>
  <si>
    <t>Reimburse Xmas Lights</t>
  </si>
  <si>
    <t>Grants -Miscellaneous</t>
  </si>
  <si>
    <t>Homeworking Jan</t>
  </si>
  <si>
    <t>Homeworking Feb</t>
  </si>
  <si>
    <t>CFO</t>
  </si>
  <si>
    <t>Subscrtiption</t>
  </si>
  <si>
    <t>PAYE Feb</t>
  </si>
  <si>
    <t>PAYE Mar</t>
  </si>
  <si>
    <t>OALC</t>
  </si>
  <si>
    <t>Jan Pay</t>
  </si>
  <si>
    <t>Feb Pay</t>
  </si>
  <si>
    <t>Grant</t>
  </si>
  <si>
    <t>Cash</t>
  </si>
  <si>
    <t>Harding</t>
  </si>
  <si>
    <t>Refund Xmas lights</t>
  </si>
  <si>
    <t>Bank Balances as at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</si>
</sst>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%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1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textRotation="90"/>
    </xf>
    <xf numFmtId="4" fontId="2" fillId="0" borderId="0" xfId="0" applyNumberFormat="1" applyFont="1"/>
    <xf numFmtId="4" fontId="3" fillId="0" borderId="0" xfId="0" applyNumberFormat="1" applyFont="1"/>
    <xf numFmtId="0" fontId="0" fillId="0" borderId="0" xfId="0" applyAlignment="1">
      <alignment horizontal="left" wrapText="1"/>
    </xf>
    <xf numFmtId="0" fontId="2" fillId="0" borderId="0" xfId="0" applyFont="1"/>
    <xf numFmtId="4" fontId="0" fillId="0" borderId="1" xfId="0" applyNumberFormat="1" applyBorder="1"/>
    <xf numFmtId="0" fontId="1" fillId="0" borderId="0" xfId="0" applyFont="1"/>
    <xf numFmtId="3" fontId="0" fillId="0" borderId="0" xfId="0" applyNumberFormat="1"/>
    <xf numFmtId="0" fontId="0" fillId="0" borderId="0" xfId="0" quotePrefix="1" applyAlignment="1">
      <alignment horizontal="center"/>
    </xf>
    <xf numFmtId="9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wrapText="1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 applyAlignment="1">
      <alignment textRotation="90" wrapText="1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textRotation="90"/>
    </xf>
    <xf numFmtId="4" fontId="0" fillId="0" borderId="0" xfId="0" applyNumberFormat="1" applyAlignment="1">
      <alignment horizontal="center" textRotation="90" wrapText="1"/>
    </xf>
    <xf numFmtId="4" fontId="5" fillId="0" borderId="0" xfId="0" applyNumberFormat="1" applyFont="1"/>
    <xf numFmtId="9" fontId="0" fillId="0" borderId="0" xfId="0" quotePrefix="1" applyNumberFormat="1" applyAlignment="1">
      <alignment horizontal="right"/>
    </xf>
    <xf numFmtId="4" fontId="0" fillId="0" borderId="2" xfId="0" applyNumberFormat="1" applyBorder="1"/>
    <xf numFmtId="4" fontId="1" fillId="0" borderId="0" xfId="0" applyNumberFormat="1" applyFont="1"/>
    <xf numFmtId="0" fontId="6" fillId="0" borderId="0" xfId="0" applyFont="1"/>
    <xf numFmtId="4" fontId="7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4" fontId="9" fillId="0" borderId="1" xfId="0" applyNumberFormat="1" applyFont="1" applyBorder="1"/>
    <xf numFmtId="4" fontId="8" fillId="0" borderId="0" xfId="0" applyNumberFormat="1" applyFont="1"/>
    <xf numFmtId="0" fontId="11" fillId="0" borderId="0" xfId="0" applyFont="1"/>
    <xf numFmtId="4" fontId="11" fillId="0" borderId="0" xfId="0" applyNumberFormat="1" applyFont="1"/>
    <xf numFmtId="165" fontId="11" fillId="0" borderId="0" xfId="0" applyNumberFormat="1" applyFont="1"/>
    <xf numFmtId="0" fontId="0" fillId="2" borderId="0" xfId="0" applyFill="1"/>
    <xf numFmtId="4" fontId="0" fillId="2" borderId="0" xfId="0" applyNumberFormat="1" applyFill="1"/>
    <xf numFmtId="0" fontId="0" fillId="2" borderId="1" xfId="0" applyFill="1" applyBorder="1"/>
    <xf numFmtId="4" fontId="1" fillId="2" borderId="0" xfId="0" applyNumberFormat="1" applyFont="1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3" fontId="11" fillId="0" borderId="0" xfId="0" applyNumberFormat="1" applyFont="1"/>
    <xf numFmtId="3" fontId="11" fillId="0" borderId="1" xfId="0" applyNumberFormat="1" applyFont="1" applyBorder="1"/>
    <xf numFmtId="3" fontId="10" fillId="0" borderId="0" xfId="0" applyNumberFormat="1" applyFont="1"/>
    <xf numFmtId="3" fontId="0" fillId="2" borderId="0" xfId="0" applyNumberFormat="1" applyFill="1"/>
    <xf numFmtId="3" fontId="0" fillId="2" borderId="1" xfId="0" applyNumberFormat="1" applyFill="1" applyBorder="1"/>
    <xf numFmtId="3" fontId="1" fillId="2" borderId="0" xfId="0" applyNumberFormat="1" applyFont="1" applyFill="1"/>
    <xf numFmtId="1" fontId="0" fillId="0" borderId="0" xfId="0" applyNumberFormat="1"/>
    <xf numFmtId="14" fontId="1" fillId="0" borderId="0" xfId="0" applyNumberFormat="1" applyFont="1"/>
    <xf numFmtId="2" fontId="0" fillId="0" borderId="0" xfId="0" applyNumberFormat="1"/>
    <xf numFmtId="0" fontId="0" fillId="0" borderId="0" xfId="0" quotePrefix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3" fontId="15" fillId="0" borderId="0" xfId="0" applyNumberFormat="1" applyFont="1"/>
    <xf numFmtId="3" fontId="15" fillId="0" borderId="1" xfId="0" applyNumberFormat="1" applyFont="1" applyBorder="1"/>
    <xf numFmtId="4" fontId="15" fillId="0" borderId="0" xfId="0" applyNumberFormat="1" applyFont="1"/>
    <xf numFmtId="3" fontId="14" fillId="0" borderId="0" xfId="0" applyNumberFormat="1" applyFont="1"/>
    <xf numFmtId="3" fontId="14" fillId="2" borderId="0" xfId="0" applyNumberFormat="1" applyFont="1" applyFill="1"/>
    <xf numFmtId="3" fontId="13" fillId="0" borderId="0" xfId="0" applyNumberFormat="1" applyFont="1"/>
    <xf numFmtId="3" fontId="13" fillId="0" borderId="1" xfId="0" applyNumberFormat="1" applyFont="1" applyBorder="1"/>
    <xf numFmtId="3" fontId="0" fillId="0" borderId="1" xfId="0" applyNumberFormat="1" applyBorder="1"/>
    <xf numFmtId="3" fontId="12" fillId="0" borderId="0" xfId="0" applyNumberFormat="1" applyFont="1"/>
    <xf numFmtId="3" fontId="1" fillId="0" borderId="0" xfId="0" applyNumberFormat="1" applyFont="1"/>
    <xf numFmtId="3" fontId="9" fillId="0" borderId="1" xfId="0" applyNumberFormat="1" applyFont="1" applyBorder="1"/>
    <xf numFmtId="3" fontId="9" fillId="0" borderId="0" xfId="0" applyNumberFormat="1" applyFont="1"/>
    <xf numFmtId="3" fontId="8" fillId="0" borderId="0" xfId="0" applyNumberFormat="1" applyFont="1"/>
    <xf numFmtId="9" fontId="14" fillId="0" borderId="0" xfId="0" quotePrefix="1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55"/>
  <sheetViews>
    <sheetView tabSelected="1" view="pageLayout" zoomScaleNormal="100" workbookViewId="0">
      <selection activeCell="E1" sqref="E1:E1048576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10.36328125" bestFit="1" customWidth="1"/>
    <col min="7" max="7" width="1.54296875" customWidth="1"/>
    <col min="8" max="8" width="9.1796875" customWidth="1"/>
    <col min="9" max="9" width="7.26953125" hidden="1" customWidth="1"/>
    <col min="10" max="10" width="7.7265625" hidden="1" customWidth="1"/>
    <col min="11" max="11" width="2.7265625" customWidth="1"/>
  </cols>
  <sheetData>
    <row r="2" spans="1:12" x14ac:dyDescent="0.35">
      <c r="B2" s="28" t="s">
        <v>82</v>
      </c>
      <c r="C2" s="41"/>
      <c r="D2" s="28" t="s">
        <v>99</v>
      </c>
      <c r="E2" s="28"/>
      <c r="F2" s="28"/>
      <c r="G2" s="28"/>
      <c r="H2" s="42"/>
      <c r="I2" s="11" t="s">
        <v>29</v>
      </c>
      <c r="J2" s="11" t="s">
        <v>51</v>
      </c>
    </row>
    <row r="3" spans="1:12" x14ac:dyDescent="0.35">
      <c r="B3" s="40" t="s">
        <v>74</v>
      </c>
      <c r="C3" s="41"/>
      <c r="D3" s="28" t="s">
        <v>74</v>
      </c>
      <c r="E3" s="28"/>
      <c r="F3" s="28"/>
      <c r="G3" s="28"/>
      <c r="H3" s="42"/>
      <c r="I3" s="11"/>
      <c r="J3" s="11"/>
    </row>
    <row r="4" spans="1:12" x14ac:dyDescent="0.35">
      <c r="A4" s="9" t="s">
        <v>26</v>
      </c>
      <c r="B4" s="29"/>
      <c r="C4" s="9"/>
      <c r="H4" s="33"/>
    </row>
    <row r="5" spans="1:12" x14ac:dyDescent="0.35">
      <c r="A5" t="s">
        <v>13</v>
      </c>
      <c r="B5" s="2">
        <v>10300</v>
      </c>
      <c r="D5" s="2">
        <f>Income!E29</f>
        <v>10800</v>
      </c>
      <c r="E5" s="2"/>
      <c r="F5" s="2"/>
      <c r="G5" s="2"/>
      <c r="H5" s="44"/>
      <c r="I5" s="10">
        <f t="shared" ref="I5:I15" si="0">D5-B5</f>
        <v>500</v>
      </c>
      <c r="J5" s="12">
        <f>I5/B5</f>
        <v>4.8543689320388349E-2</v>
      </c>
      <c r="L5" s="53"/>
    </row>
    <row r="6" spans="1:12" x14ac:dyDescent="0.35">
      <c r="A6" t="s">
        <v>14</v>
      </c>
      <c r="B6" s="2">
        <v>709</v>
      </c>
      <c r="D6" s="2">
        <f>Income!F29</f>
        <v>709</v>
      </c>
      <c r="E6" s="2"/>
      <c r="F6" s="2"/>
      <c r="G6" s="2"/>
      <c r="H6" s="44"/>
      <c r="I6" s="10">
        <f t="shared" si="0"/>
        <v>0</v>
      </c>
      <c r="J6" s="12">
        <f>I6/B6</f>
        <v>0</v>
      </c>
    </row>
    <row r="7" spans="1:12" x14ac:dyDescent="0.35">
      <c r="A7" t="s">
        <v>177</v>
      </c>
      <c r="B7" s="2"/>
      <c r="D7" s="2">
        <f>Income!G29</f>
        <v>1665.83</v>
      </c>
      <c r="E7" s="2"/>
      <c r="F7" s="2"/>
      <c r="G7" s="2"/>
      <c r="H7" s="44"/>
      <c r="I7" s="10"/>
      <c r="J7" s="12"/>
    </row>
    <row r="8" spans="1:12" x14ac:dyDescent="0.35">
      <c r="A8" t="s">
        <v>79</v>
      </c>
      <c r="B8" s="2">
        <v>0</v>
      </c>
      <c r="D8" s="2">
        <f>Income!H29</f>
        <v>0</v>
      </c>
      <c r="E8" s="2"/>
      <c r="F8" s="2"/>
      <c r="G8" s="2"/>
      <c r="H8" s="44"/>
      <c r="I8" s="10">
        <f t="shared" si="0"/>
        <v>0</v>
      </c>
      <c r="J8" s="12">
        <v>0</v>
      </c>
    </row>
    <row r="9" spans="1:12" x14ac:dyDescent="0.35">
      <c r="A9" t="s">
        <v>44</v>
      </c>
      <c r="B9" s="2">
        <v>0</v>
      </c>
      <c r="D9" s="2">
        <f>Income!I29</f>
        <v>16.75</v>
      </c>
      <c r="E9" s="2"/>
      <c r="F9" s="2"/>
      <c r="G9" s="2"/>
      <c r="H9" s="44"/>
      <c r="I9" s="10">
        <f t="shared" si="0"/>
        <v>16.75</v>
      </c>
      <c r="J9" s="12" t="e">
        <f>I9/B9</f>
        <v>#DIV/0!</v>
      </c>
    </row>
    <row r="10" spans="1:12" x14ac:dyDescent="0.35">
      <c r="A10" t="s">
        <v>17</v>
      </c>
      <c r="B10" s="2">
        <v>86.710000000000008</v>
      </c>
      <c r="D10" s="2">
        <f>Income!J29</f>
        <v>116.12</v>
      </c>
      <c r="E10" s="2"/>
      <c r="F10" s="2"/>
      <c r="G10" s="2"/>
      <c r="H10" s="44"/>
      <c r="I10" s="10">
        <f t="shared" si="0"/>
        <v>29.409999999999997</v>
      </c>
      <c r="J10" s="12">
        <f>I10/B10</f>
        <v>0.33917656556337211</v>
      </c>
    </row>
    <row r="11" spans="1:12" x14ac:dyDescent="0.35">
      <c r="A11" t="s">
        <v>57</v>
      </c>
      <c r="B11" s="2">
        <v>152.28</v>
      </c>
      <c r="D11" s="2">
        <f>Income!K29</f>
        <v>287.5</v>
      </c>
      <c r="E11" s="2"/>
      <c r="F11" s="2"/>
      <c r="G11" s="2"/>
      <c r="H11" s="44"/>
      <c r="I11" s="10">
        <f t="shared" si="0"/>
        <v>135.22</v>
      </c>
      <c r="J11" s="12">
        <f>I11/B11</f>
        <v>0.88796952981350141</v>
      </c>
    </row>
    <row r="12" spans="1:12" x14ac:dyDescent="0.35">
      <c r="A12" t="s">
        <v>9</v>
      </c>
      <c r="B12" s="2">
        <v>322.58999999999997</v>
      </c>
      <c r="D12" s="2">
        <f>Income!L29</f>
        <v>0</v>
      </c>
      <c r="E12" s="2"/>
      <c r="F12" s="2"/>
      <c r="G12" s="2"/>
      <c r="H12" s="44"/>
      <c r="I12" s="10">
        <f t="shared" si="0"/>
        <v>-322.58999999999997</v>
      </c>
      <c r="J12" s="12">
        <v>1</v>
      </c>
    </row>
    <row r="13" spans="1:12" x14ac:dyDescent="0.35">
      <c r="A13" t="s">
        <v>66</v>
      </c>
      <c r="B13" s="2">
        <v>0</v>
      </c>
      <c r="D13" s="2">
        <f>Income!M29</f>
        <v>48.45</v>
      </c>
      <c r="E13" s="2"/>
      <c r="F13" s="2"/>
      <c r="G13" s="2"/>
      <c r="H13" s="44"/>
      <c r="I13" s="10">
        <f t="shared" si="0"/>
        <v>48.45</v>
      </c>
      <c r="J13" s="12">
        <v>0</v>
      </c>
    </row>
    <row r="14" spans="1:12" x14ac:dyDescent="0.35">
      <c r="A14" t="s">
        <v>59</v>
      </c>
      <c r="B14" s="8">
        <v>2151.0300000000002</v>
      </c>
      <c r="D14" s="8">
        <f>Income!N29</f>
        <v>0</v>
      </c>
      <c r="E14" s="2"/>
      <c r="F14" s="8"/>
      <c r="G14" s="2"/>
      <c r="H14" s="45"/>
      <c r="I14" s="10">
        <f t="shared" si="0"/>
        <v>-2151.0300000000002</v>
      </c>
      <c r="J14" s="22" t="s">
        <v>45</v>
      </c>
    </row>
    <row r="15" spans="1:12" x14ac:dyDescent="0.35">
      <c r="A15" s="9" t="s">
        <v>27</v>
      </c>
      <c r="B15" s="32">
        <f>SUM(B5:B14)</f>
        <v>13721.61</v>
      </c>
      <c r="C15" s="24">
        <f>SUM(C5:C14)</f>
        <v>0</v>
      </c>
      <c r="D15" s="24">
        <f>SUM(D5:D14)</f>
        <v>13643.650000000001</v>
      </c>
      <c r="E15" s="24"/>
      <c r="F15" s="24"/>
      <c r="G15" s="24"/>
      <c r="H15" s="46"/>
      <c r="I15" s="10">
        <f t="shared" si="0"/>
        <v>-77.959999999999127</v>
      </c>
      <c r="J15" s="12">
        <f>I15/B15</f>
        <v>-5.6815490310538723E-3</v>
      </c>
    </row>
    <row r="16" spans="1:12" x14ac:dyDescent="0.35">
      <c r="B16" s="30"/>
      <c r="D16" s="2"/>
      <c r="E16" s="2"/>
      <c r="F16" s="2"/>
      <c r="G16" s="2"/>
      <c r="H16" s="34"/>
    </row>
    <row r="17" spans="1:10" x14ac:dyDescent="0.35">
      <c r="A17" s="9" t="s">
        <v>28</v>
      </c>
      <c r="B17" s="30"/>
      <c r="C17" s="9"/>
      <c r="D17" s="2"/>
      <c r="E17" s="2"/>
      <c r="F17" s="2"/>
      <c r="G17" s="2"/>
      <c r="H17" s="34"/>
    </row>
    <row r="18" spans="1:10" x14ac:dyDescent="0.35">
      <c r="A18" t="s">
        <v>30</v>
      </c>
      <c r="B18" s="30">
        <v>2766.6</v>
      </c>
      <c r="D18" s="2">
        <f>Expenditure!J80</f>
        <v>3485.3599999999992</v>
      </c>
      <c r="E18" s="2"/>
      <c r="F18" s="2"/>
      <c r="G18" s="2"/>
      <c r="H18" s="44"/>
      <c r="I18" s="10">
        <f>D18-B18</f>
        <v>718.75999999999931</v>
      </c>
      <c r="J18" s="12">
        <f>I18/B18</f>
        <v>0.25979903130195886</v>
      </c>
    </row>
    <row r="19" spans="1:10" x14ac:dyDescent="0.35">
      <c r="A19" t="s">
        <v>84</v>
      </c>
      <c r="B19" s="30">
        <v>286</v>
      </c>
      <c r="D19" s="2">
        <f>Expenditure!K80</f>
        <v>338</v>
      </c>
      <c r="E19" s="2"/>
      <c r="F19" s="2"/>
      <c r="G19" s="2"/>
      <c r="H19" s="44"/>
      <c r="I19" s="10"/>
      <c r="J19" s="12"/>
    </row>
    <row r="20" spans="1:10" x14ac:dyDescent="0.35">
      <c r="A20" t="s">
        <v>3</v>
      </c>
      <c r="B20" s="30">
        <v>537.28</v>
      </c>
      <c r="D20" s="2">
        <f>Expenditure!L80</f>
        <v>545.83000000000004</v>
      </c>
      <c r="E20" s="2"/>
      <c r="F20" s="2"/>
      <c r="G20" s="2"/>
      <c r="H20" s="44"/>
      <c r="I20" s="10">
        <f t="shared" ref="I20:I35" si="1">D20-B20</f>
        <v>8.5500000000000682</v>
      </c>
      <c r="J20" s="12">
        <f>I20/B20</f>
        <v>1.5913490172721985E-2</v>
      </c>
    </row>
    <row r="21" spans="1:10" x14ac:dyDescent="0.35">
      <c r="A21" t="s">
        <v>63</v>
      </c>
      <c r="B21" s="30">
        <v>230</v>
      </c>
      <c r="D21" s="2">
        <f>Expenditure!M80</f>
        <v>235</v>
      </c>
      <c r="E21" s="2"/>
      <c r="F21" s="2"/>
      <c r="G21" s="2"/>
      <c r="H21" s="44"/>
      <c r="I21" s="10">
        <f t="shared" si="1"/>
        <v>5</v>
      </c>
      <c r="J21" s="12">
        <f>I21/B21</f>
        <v>2.1739130434782608E-2</v>
      </c>
    </row>
    <row r="22" spans="1:10" x14ac:dyDescent="0.35">
      <c r="A22" t="s">
        <v>64</v>
      </c>
      <c r="B22" s="30">
        <v>60</v>
      </c>
      <c r="D22" s="2">
        <f>Expenditure!N80</f>
        <v>35</v>
      </c>
      <c r="E22" s="2"/>
      <c r="F22" s="2"/>
      <c r="G22" s="2"/>
      <c r="H22" s="44"/>
      <c r="I22" s="10">
        <f t="shared" si="1"/>
        <v>-25</v>
      </c>
      <c r="J22" s="12">
        <v>0</v>
      </c>
    </row>
    <row r="23" spans="1:10" x14ac:dyDescent="0.35">
      <c r="A23" t="s">
        <v>5</v>
      </c>
      <c r="B23" s="30">
        <v>2613.9700000000003</v>
      </c>
      <c r="D23" s="2">
        <f>Expenditure!Q80</f>
        <v>2326.6800000000003</v>
      </c>
      <c r="E23" s="2"/>
      <c r="F23" s="2"/>
      <c r="G23" s="2"/>
      <c r="H23" s="44"/>
      <c r="I23" s="10">
        <f t="shared" si="1"/>
        <v>-287.28999999999996</v>
      </c>
      <c r="J23" s="12">
        <f>I23/B23</f>
        <v>-0.10990562248227789</v>
      </c>
    </row>
    <row r="24" spans="1:10" x14ac:dyDescent="0.35">
      <c r="A24" t="s">
        <v>61</v>
      </c>
      <c r="B24" s="30">
        <v>0</v>
      </c>
      <c r="D24" s="2">
        <f>Expenditure!O80</f>
        <v>0</v>
      </c>
      <c r="E24" s="2"/>
      <c r="F24" s="2"/>
      <c r="G24" s="2"/>
      <c r="H24" s="44"/>
      <c r="I24" s="10">
        <f t="shared" si="1"/>
        <v>0</v>
      </c>
      <c r="J24" s="12"/>
    </row>
    <row r="25" spans="1:10" x14ac:dyDescent="0.35">
      <c r="A25" t="s">
        <v>58</v>
      </c>
      <c r="B25" s="30">
        <v>2300</v>
      </c>
      <c r="D25" s="2">
        <f>Expenditure!R80</f>
        <v>3900</v>
      </c>
      <c r="E25" s="2"/>
      <c r="F25" s="2"/>
      <c r="G25" s="2"/>
      <c r="H25" s="44"/>
      <c r="I25" s="10">
        <f t="shared" si="1"/>
        <v>1600</v>
      </c>
      <c r="J25" s="12">
        <f>I25/B25</f>
        <v>0.69565217391304346</v>
      </c>
    </row>
    <row r="26" spans="1:10" x14ac:dyDescent="0.35">
      <c r="A26" t="s">
        <v>22</v>
      </c>
      <c r="B26" s="30">
        <v>236.15</v>
      </c>
      <c r="D26" s="2">
        <f>Expenditure!S80</f>
        <v>511.64</v>
      </c>
      <c r="E26" s="2"/>
      <c r="F26" s="2"/>
      <c r="G26" s="2"/>
      <c r="H26" s="44"/>
      <c r="I26" s="10">
        <f t="shared" si="1"/>
        <v>275.49</v>
      </c>
      <c r="J26" s="12">
        <f>I26/B26</f>
        <v>1.1665890323946644</v>
      </c>
    </row>
    <row r="27" spans="1:10" x14ac:dyDescent="0.35">
      <c r="A27" t="s">
        <v>31</v>
      </c>
      <c r="B27" s="30">
        <v>434.72</v>
      </c>
      <c r="D27" s="2">
        <f>Expenditure!T80</f>
        <v>446.16</v>
      </c>
      <c r="E27" s="2"/>
      <c r="F27" s="2"/>
      <c r="G27" s="2"/>
      <c r="H27" s="44"/>
      <c r="I27" s="10">
        <f t="shared" si="1"/>
        <v>11.439999999999998</v>
      </c>
      <c r="J27" s="12">
        <f>I27/B27</f>
        <v>2.6315789473684202E-2</v>
      </c>
    </row>
    <row r="28" spans="1:10" x14ac:dyDescent="0.35">
      <c r="A28" t="s">
        <v>73</v>
      </c>
      <c r="B28" s="30">
        <v>0</v>
      </c>
      <c r="D28" s="2">
        <f>Expenditure!U80</f>
        <v>0</v>
      </c>
      <c r="E28" s="2"/>
      <c r="F28" s="2"/>
      <c r="G28" s="2"/>
      <c r="H28" s="44"/>
      <c r="I28" s="10">
        <f t="shared" si="1"/>
        <v>0</v>
      </c>
      <c r="J28" s="12">
        <v>0</v>
      </c>
    </row>
    <row r="29" spans="1:10" x14ac:dyDescent="0.35">
      <c r="A29" t="s">
        <v>52</v>
      </c>
      <c r="B29" s="30">
        <v>150</v>
      </c>
      <c r="D29" s="2">
        <f>Expenditure!V80</f>
        <v>156</v>
      </c>
      <c r="E29" s="2"/>
      <c r="F29" s="2"/>
      <c r="G29" s="2"/>
      <c r="H29" s="44"/>
      <c r="I29" s="10">
        <f t="shared" si="1"/>
        <v>6</v>
      </c>
      <c r="J29" s="12">
        <f>I29/B29</f>
        <v>0.04</v>
      </c>
    </row>
    <row r="30" spans="1:10" x14ac:dyDescent="0.35">
      <c r="A30" t="s">
        <v>32</v>
      </c>
      <c r="B30" s="30">
        <v>0</v>
      </c>
      <c r="D30" s="2">
        <f>Expenditure!W80</f>
        <v>495.96</v>
      </c>
      <c r="E30" s="2"/>
      <c r="F30" s="2"/>
      <c r="G30" s="2"/>
      <c r="H30" s="44"/>
      <c r="I30" s="10">
        <f t="shared" si="1"/>
        <v>495.96</v>
      </c>
      <c r="J30" s="12" t="e">
        <f>I30/B30</f>
        <v>#DIV/0!</v>
      </c>
    </row>
    <row r="31" spans="1:10" x14ac:dyDescent="0.35">
      <c r="A31" t="s">
        <v>8</v>
      </c>
      <c r="B31" s="30">
        <v>861.45999999999981</v>
      </c>
      <c r="D31" s="2">
        <f>Expenditure!I80</f>
        <v>890.48</v>
      </c>
      <c r="E31" s="2"/>
      <c r="F31" s="2"/>
      <c r="G31" s="2"/>
      <c r="H31" s="44"/>
      <c r="I31" s="10">
        <f t="shared" si="1"/>
        <v>29.020000000000209</v>
      </c>
      <c r="J31" s="12">
        <f>I31/B31</f>
        <v>3.3686996494323843E-2</v>
      </c>
    </row>
    <row r="32" spans="1:10" x14ac:dyDescent="0.35">
      <c r="A32" t="s">
        <v>9</v>
      </c>
      <c r="B32" s="30">
        <v>417.78</v>
      </c>
      <c r="D32" s="2">
        <f>Expenditure!X80</f>
        <v>0</v>
      </c>
      <c r="E32" s="2"/>
      <c r="F32" s="2"/>
      <c r="G32" s="2"/>
      <c r="H32" s="44"/>
      <c r="I32" s="10">
        <f t="shared" si="1"/>
        <v>-417.78</v>
      </c>
      <c r="J32" s="12">
        <v>1</v>
      </c>
    </row>
    <row r="33" spans="1:10" x14ac:dyDescent="0.35">
      <c r="A33" t="s">
        <v>10</v>
      </c>
      <c r="B33" s="30">
        <v>0</v>
      </c>
      <c r="D33" s="2">
        <f>Expenditure!Y80</f>
        <v>0</v>
      </c>
      <c r="E33" s="2"/>
      <c r="F33" s="2"/>
      <c r="G33" s="2"/>
      <c r="H33" s="44"/>
      <c r="I33" s="10">
        <f t="shared" si="1"/>
        <v>0</v>
      </c>
      <c r="J33" s="12">
        <v>0</v>
      </c>
    </row>
    <row r="34" spans="1:10" x14ac:dyDescent="0.35">
      <c r="A34" t="s">
        <v>11</v>
      </c>
      <c r="B34" s="31">
        <v>987.67000000000007</v>
      </c>
      <c r="D34" s="8">
        <f>Expenditure!Z80</f>
        <v>1192.6100000000001</v>
      </c>
      <c r="E34" s="8"/>
      <c r="F34" s="8"/>
      <c r="H34" s="45"/>
      <c r="I34" s="10">
        <f t="shared" si="1"/>
        <v>204.94000000000005</v>
      </c>
      <c r="J34" s="12">
        <v>0</v>
      </c>
    </row>
    <row r="35" spans="1:10" x14ac:dyDescent="0.35">
      <c r="A35" s="1"/>
      <c r="B35" s="32">
        <f>SUM(B18:B34)</f>
        <v>11881.63</v>
      </c>
      <c r="C35" s="24">
        <f t="shared" ref="C35:D35" si="2">SUM(C18:C34)</f>
        <v>0</v>
      </c>
      <c r="D35" s="39">
        <f t="shared" si="2"/>
        <v>14558.719999999998</v>
      </c>
      <c r="E35" s="24"/>
      <c r="F35" s="24"/>
      <c r="G35" s="24"/>
      <c r="H35" s="46"/>
      <c r="I35" s="10">
        <f t="shared" si="1"/>
        <v>2677.0899999999983</v>
      </c>
      <c r="J35" s="12">
        <f>I35/B35</f>
        <v>0.22531336188721568</v>
      </c>
    </row>
    <row r="36" spans="1:10" x14ac:dyDescent="0.35">
      <c r="A36" s="1"/>
      <c r="B36" s="30"/>
      <c r="D36" s="2"/>
      <c r="E36" s="2"/>
      <c r="F36" s="2"/>
      <c r="G36" s="2"/>
      <c r="H36" s="34"/>
    </row>
    <row r="37" spans="1:10" x14ac:dyDescent="0.35">
      <c r="A37" s="1"/>
      <c r="B37" s="30"/>
      <c r="D37" s="2"/>
      <c r="E37" s="2"/>
      <c r="F37" s="2"/>
      <c r="G37" s="2"/>
      <c r="H37" s="35"/>
    </row>
    <row r="38" spans="1:10" x14ac:dyDescent="0.35">
      <c r="A38" s="1"/>
      <c r="B38" s="30"/>
      <c r="D38" s="2"/>
      <c r="E38" s="2"/>
      <c r="F38" s="2"/>
      <c r="G38" s="2"/>
      <c r="H38" s="34"/>
    </row>
    <row r="39" spans="1:10" x14ac:dyDescent="0.35">
      <c r="A39" s="1"/>
      <c r="B39" s="30"/>
      <c r="C39" s="9"/>
      <c r="D39" s="2"/>
      <c r="E39" s="2"/>
      <c r="F39" s="2"/>
      <c r="G39" s="2"/>
      <c r="H39" s="34"/>
    </row>
    <row r="40" spans="1:10" x14ac:dyDescent="0.35">
      <c r="A40" s="1" t="s">
        <v>85</v>
      </c>
      <c r="B40" s="32">
        <v>8262.42</v>
      </c>
      <c r="C40" s="9"/>
      <c r="D40" s="24">
        <f>B44</f>
        <v>10102.4</v>
      </c>
      <c r="E40" s="24"/>
      <c r="F40" s="24"/>
      <c r="G40" s="24"/>
      <c r="H40" s="46"/>
    </row>
    <row r="41" spans="1:10" x14ac:dyDescent="0.35">
      <c r="A41" s="1" t="s">
        <v>86</v>
      </c>
      <c r="B41" s="31">
        <f>B15</f>
        <v>13721.61</v>
      </c>
      <c r="D41" s="31">
        <f>D15</f>
        <v>13643.650000000001</v>
      </c>
      <c r="E41" s="2"/>
      <c r="F41" s="8"/>
      <c r="G41" s="2"/>
      <c r="H41" s="45"/>
    </row>
    <row r="42" spans="1:10" x14ac:dyDescent="0.35">
      <c r="A42" s="1"/>
      <c r="B42" s="30">
        <f>SUM(B40:B41)</f>
        <v>21984.03</v>
      </c>
      <c r="D42" s="30">
        <f>SUM(D40:D41)</f>
        <v>23746.050000000003</v>
      </c>
      <c r="E42" s="2"/>
      <c r="F42" s="2"/>
      <c r="G42" s="2"/>
      <c r="H42" s="44"/>
    </row>
    <row r="43" spans="1:10" x14ac:dyDescent="0.35">
      <c r="A43" s="1" t="s">
        <v>87</v>
      </c>
      <c r="B43" s="31">
        <f>B35</f>
        <v>11881.63</v>
      </c>
      <c r="D43" s="31">
        <f>D35</f>
        <v>14558.719999999998</v>
      </c>
      <c r="E43" s="2"/>
      <c r="F43" s="8"/>
      <c r="G43" s="2"/>
      <c r="H43" s="45"/>
    </row>
    <row r="44" spans="1:10" x14ac:dyDescent="0.35">
      <c r="A44" s="51" t="s">
        <v>88</v>
      </c>
      <c r="B44" s="32">
        <f>B42-B43</f>
        <v>10102.4</v>
      </c>
      <c r="C44" s="9"/>
      <c r="D44" s="32">
        <f>D42-D43</f>
        <v>9187.3300000000054</v>
      </c>
      <c r="E44" s="24"/>
      <c r="F44" s="24"/>
      <c r="G44" s="24"/>
      <c r="H44" s="46"/>
    </row>
    <row r="45" spans="1:10" x14ac:dyDescent="0.35">
      <c r="B45" s="30"/>
      <c r="D45" s="2"/>
      <c r="E45" s="2"/>
      <c r="F45" s="2"/>
      <c r="G45" s="2"/>
      <c r="H45" s="2"/>
    </row>
    <row r="46" spans="1:10" x14ac:dyDescent="0.35">
      <c r="A46" s="9" t="s">
        <v>33</v>
      </c>
      <c r="B46" s="30"/>
      <c r="C46" s="9"/>
      <c r="D46" s="2"/>
      <c r="E46" s="2"/>
      <c r="F46" s="2"/>
      <c r="G46" s="2"/>
      <c r="H46" s="2"/>
    </row>
    <row r="47" spans="1:10" x14ac:dyDescent="0.35">
      <c r="A47" t="s">
        <v>34</v>
      </c>
      <c r="B47" s="2">
        <v>1793.12</v>
      </c>
      <c r="D47" s="2">
        <v>1761.93</v>
      </c>
      <c r="E47" s="2"/>
      <c r="F47" s="2"/>
      <c r="G47" s="2"/>
      <c r="H47" s="2"/>
    </row>
    <row r="48" spans="1:10" x14ac:dyDescent="0.35">
      <c r="A48" t="s">
        <v>35</v>
      </c>
      <c r="B48" s="8">
        <v>8309.2800000000007</v>
      </c>
      <c r="D48" s="8">
        <v>7425.4</v>
      </c>
      <c r="E48" s="2"/>
      <c r="F48" s="2"/>
      <c r="G48" s="2"/>
      <c r="H48" s="2"/>
    </row>
    <row r="49" spans="1:10" x14ac:dyDescent="0.35">
      <c r="A49" s="9" t="s">
        <v>81</v>
      </c>
      <c r="B49" s="32">
        <f>SUM(B47:B48)</f>
        <v>10102.400000000001</v>
      </c>
      <c r="D49" s="24">
        <f>SUM(D47:D48)</f>
        <v>9187.33</v>
      </c>
      <c r="E49" s="2"/>
      <c r="F49" s="2"/>
      <c r="G49" s="2"/>
      <c r="H49" s="2"/>
      <c r="J49" s="1"/>
    </row>
    <row r="50" spans="1:10" x14ac:dyDescent="0.35">
      <c r="A50" t="s">
        <v>93</v>
      </c>
      <c r="B50" s="32"/>
      <c r="D50" s="8">
        <v>0</v>
      </c>
      <c r="E50" s="2"/>
      <c r="F50" s="2"/>
      <c r="G50" s="2"/>
      <c r="H50" s="2"/>
      <c r="J50" s="1"/>
    </row>
    <row r="51" spans="1:10" x14ac:dyDescent="0.35">
      <c r="A51" s="9"/>
      <c r="B51" s="32"/>
      <c r="D51" s="2">
        <f>SUM(D49:D50)</f>
        <v>9187.33</v>
      </c>
      <c r="E51" s="2"/>
      <c r="F51" s="2"/>
      <c r="G51" s="2"/>
      <c r="H51" s="2"/>
      <c r="J51" s="1"/>
    </row>
    <row r="52" spans="1:10" x14ac:dyDescent="0.35">
      <c r="A52" t="s">
        <v>39</v>
      </c>
      <c r="D52" s="8">
        <v>0</v>
      </c>
    </row>
    <row r="53" spans="1:10" x14ac:dyDescent="0.35">
      <c r="A53" s="9" t="s">
        <v>94</v>
      </c>
      <c r="D53" s="24">
        <f>D51-D52</f>
        <v>9187.33</v>
      </c>
    </row>
    <row r="55" spans="1:10" x14ac:dyDescent="0.35">
      <c r="G55">
        <f>E55-F55</f>
        <v>0</v>
      </c>
    </row>
  </sheetData>
  <pageMargins left="0.7" right="0.7" top="0.75" bottom="0.75" header="0.3" footer="0.3"/>
  <pageSetup paperSize="9" scale="92" orientation="portrait" r:id="rId1"/>
  <headerFooter>
    <oddHeader>&amp;C&amp;"-,Bold"&amp;14Barford St John and St Michael Parish Council
Accounts at 31st March 2025</oddHeader>
  </headerFooter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1"/>
  <sheetViews>
    <sheetView view="pageLayout" zoomScaleNormal="100" workbookViewId="0">
      <selection activeCell="D32" sqref="D32"/>
    </sheetView>
  </sheetViews>
  <sheetFormatPr defaultRowHeight="14.5" x14ac:dyDescent="0.35"/>
  <cols>
    <col min="1" max="1" width="10.7265625" bestFit="1" customWidth="1"/>
    <col min="2" max="2" width="15.7265625" bestFit="1" customWidth="1"/>
    <col min="3" max="3" width="21.81640625" bestFit="1" customWidth="1"/>
    <col min="5" max="5" width="8.81640625" bestFit="1" customWidth="1"/>
    <col min="6" max="6" width="6.54296875" bestFit="1" customWidth="1"/>
    <col min="7" max="7" width="8.1796875" bestFit="1" customWidth="1"/>
    <col min="8" max="8" width="9.1796875" bestFit="1" customWidth="1"/>
    <col min="9" max="9" width="5.54296875" bestFit="1" customWidth="1"/>
    <col min="10" max="10" width="7.81640625" bestFit="1" customWidth="1"/>
    <col min="11" max="11" width="6.54296875" bestFit="1" customWidth="1"/>
    <col min="12" max="12" width="8.81640625" bestFit="1" customWidth="1"/>
    <col min="13" max="13" width="6.36328125" bestFit="1" customWidth="1"/>
    <col min="14" max="14" width="8.1796875" bestFit="1" customWidth="1"/>
  </cols>
  <sheetData>
    <row r="1" spans="1:14" ht="117.75" customHeight="1" x14ac:dyDescent="0.35">
      <c r="A1" s="6" t="s">
        <v>25</v>
      </c>
      <c r="B1" t="s">
        <v>23</v>
      </c>
      <c r="D1" s="18" t="s">
        <v>12</v>
      </c>
      <c r="E1" s="19" t="s">
        <v>13</v>
      </c>
      <c r="F1" s="19" t="s">
        <v>14</v>
      </c>
      <c r="G1" s="20" t="s">
        <v>15</v>
      </c>
      <c r="H1" s="19" t="s">
        <v>7</v>
      </c>
      <c r="I1" s="19" t="s">
        <v>16</v>
      </c>
      <c r="J1" s="19" t="s">
        <v>17</v>
      </c>
      <c r="K1" s="19" t="s">
        <v>18</v>
      </c>
      <c r="L1" s="19" t="s">
        <v>9</v>
      </c>
      <c r="M1" s="19" t="s">
        <v>66</v>
      </c>
      <c r="N1" s="19" t="s">
        <v>19</v>
      </c>
    </row>
    <row r="2" spans="1:14" x14ac:dyDescent="0.35">
      <c r="A2" s="1">
        <v>45392</v>
      </c>
      <c r="B2" s="1" t="s">
        <v>95</v>
      </c>
      <c r="C2" s="1" t="s">
        <v>13</v>
      </c>
      <c r="D2" s="2">
        <v>5400</v>
      </c>
      <c r="E2" s="2">
        <f>D2</f>
        <v>5400</v>
      </c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1">
        <v>45398</v>
      </c>
      <c r="B3" t="s">
        <v>105</v>
      </c>
      <c r="C3" s="1" t="s">
        <v>102</v>
      </c>
      <c r="D3" s="2">
        <v>16.75</v>
      </c>
      <c r="E3" s="2"/>
      <c r="F3" s="2"/>
      <c r="G3" s="2"/>
      <c r="H3" s="2"/>
      <c r="I3" s="2">
        <f>D3</f>
        <v>16.75</v>
      </c>
      <c r="J3" s="2"/>
      <c r="K3" s="2"/>
      <c r="L3" s="2"/>
      <c r="M3" s="2"/>
      <c r="N3" s="2"/>
    </row>
    <row r="4" spans="1:14" x14ac:dyDescent="0.35">
      <c r="A4" s="1">
        <v>45414</v>
      </c>
      <c r="B4" t="s">
        <v>106</v>
      </c>
      <c r="C4" t="s">
        <v>107</v>
      </c>
      <c r="D4" s="2">
        <v>30</v>
      </c>
      <c r="K4" s="2">
        <f>D4</f>
        <v>30</v>
      </c>
      <c r="L4" s="2"/>
      <c r="M4" s="2"/>
      <c r="N4" s="2"/>
    </row>
    <row r="5" spans="1:14" x14ac:dyDescent="0.35">
      <c r="A5" s="1">
        <v>45419</v>
      </c>
      <c r="B5" t="s">
        <v>108</v>
      </c>
      <c r="C5" t="s">
        <v>107</v>
      </c>
      <c r="D5" s="2">
        <v>30</v>
      </c>
      <c r="E5" s="2"/>
      <c r="F5" s="2"/>
      <c r="G5" s="2"/>
      <c r="H5" s="2"/>
      <c r="I5" s="2"/>
      <c r="J5" s="2"/>
      <c r="K5" s="2">
        <f>D5</f>
        <v>30</v>
      </c>
      <c r="L5" s="2"/>
      <c r="M5" s="2"/>
      <c r="N5" s="2"/>
    </row>
    <row r="6" spans="1:14" x14ac:dyDescent="0.35">
      <c r="A6" s="1">
        <v>45434</v>
      </c>
      <c r="B6" t="s">
        <v>71</v>
      </c>
      <c r="C6" t="s">
        <v>109</v>
      </c>
      <c r="D6" s="2">
        <v>709</v>
      </c>
      <c r="E6" s="2"/>
      <c r="F6" s="2">
        <f>D6</f>
        <v>709</v>
      </c>
      <c r="G6" s="2"/>
      <c r="H6" s="2"/>
      <c r="I6" s="2"/>
      <c r="J6" s="2"/>
      <c r="K6" s="2"/>
      <c r="L6" s="2"/>
      <c r="M6" s="2"/>
      <c r="N6" s="2"/>
    </row>
    <row r="7" spans="1:14" x14ac:dyDescent="0.35">
      <c r="A7" s="1">
        <v>45443</v>
      </c>
      <c r="B7" s="1" t="s">
        <v>110</v>
      </c>
      <c r="C7" t="s">
        <v>107</v>
      </c>
      <c r="D7" s="2">
        <v>15</v>
      </c>
      <c r="E7" s="2"/>
      <c r="F7" s="2"/>
      <c r="G7" s="2"/>
      <c r="H7" s="2"/>
      <c r="I7" s="2"/>
      <c r="J7" s="2"/>
      <c r="K7" s="2">
        <f t="shared" ref="K7:K15" si="0">D7</f>
        <v>15</v>
      </c>
      <c r="L7" s="2"/>
      <c r="M7" s="2"/>
      <c r="N7" s="2"/>
    </row>
    <row r="8" spans="1:14" x14ac:dyDescent="0.35">
      <c r="A8" s="1">
        <v>45443</v>
      </c>
      <c r="B8" s="1" t="s">
        <v>111</v>
      </c>
      <c r="C8" t="s">
        <v>107</v>
      </c>
      <c r="D8" s="2">
        <v>15</v>
      </c>
      <c r="E8" s="2"/>
      <c r="F8" s="2"/>
      <c r="G8" s="2"/>
      <c r="H8" s="2"/>
      <c r="I8" s="2"/>
      <c r="J8" s="2"/>
      <c r="K8" s="2">
        <f t="shared" si="0"/>
        <v>15</v>
      </c>
      <c r="L8" s="2"/>
      <c r="M8" s="2"/>
      <c r="N8" s="2"/>
    </row>
    <row r="9" spans="1:14" x14ac:dyDescent="0.35">
      <c r="A9" s="1">
        <v>45446</v>
      </c>
      <c r="B9" s="1" t="s">
        <v>112</v>
      </c>
      <c r="C9" t="s">
        <v>107</v>
      </c>
      <c r="D9" s="2">
        <v>15</v>
      </c>
      <c r="E9" s="2"/>
      <c r="F9" s="2"/>
      <c r="G9" s="2"/>
      <c r="H9" s="2"/>
      <c r="I9" s="2"/>
      <c r="J9" s="2"/>
      <c r="K9" s="2">
        <f t="shared" si="0"/>
        <v>15</v>
      </c>
      <c r="L9" s="2"/>
      <c r="M9" s="2"/>
      <c r="N9" s="2"/>
    </row>
    <row r="10" spans="1:14" x14ac:dyDescent="0.35">
      <c r="A10" s="1">
        <v>45446</v>
      </c>
      <c r="B10" s="1" t="s">
        <v>113</v>
      </c>
      <c r="C10" t="s">
        <v>107</v>
      </c>
      <c r="D10" s="2">
        <v>30</v>
      </c>
      <c r="E10" s="2"/>
      <c r="F10" s="2"/>
      <c r="G10" s="2"/>
      <c r="H10" s="2"/>
      <c r="I10" s="2"/>
      <c r="J10" s="2"/>
      <c r="K10" s="2">
        <f t="shared" si="0"/>
        <v>30</v>
      </c>
      <c r="L10" s="2"/>
      <c r="M10" s="2"/>
      <c r="N10" s="2"/>
    </row>
    <row r="11" spans="1:14" x14ac:dyDescent="0.35">
      <c r="A11" s="1">
        <v>45446</v>
      </c>
      <c r="B11" s="1" t="s">
        <v>114</v>
      </c>
      <c r="C11" t="s">
        <v>107</v>
      </c>
      <c r="D11" s="2">
        <v>15</v>
      </c>
      <c r="E11" s="2"/>
      <c r="F11" s="2"/>
      <c r="G11" s="2"/>
      <c r="H11" s="2"/>
      <c r="I11" s="2"/>
      <c r="J11" s="2"/>
      <c r="K11" s="2">
        <f t="shared" si="0"/>
        <v>15</v>
      </c>
      <c r="L11" s="2"/>
      <c r="M11" s="2"/>
      <c r="N11" s="2"/>
    </row>
    <row r="12" spans="1:14" x14ac:dyDescent="0.35">
      <c r="A12" s="1">
        <v>45460</v>
      </c>
      <c r="B12" s="1" t="s">
        <v>115</v>
      </c>
      <c r="C12" t="s">
        <v>107</v>
      </c>
      <c r="D12" s="2">
        <v>15</v>
      </c>
      <c r="E12" s="2"/>
      <c r="F12" s="2"/>
      <c r="G12" s="2"/>
      <c r="H12" s="2"/>
      <c r="I12" s="2"/>
      <c r="J12" s="2"/>
      <c r="K12" s="2">
        <f t="shared" si="0"/>
        <v>15</v>
      </c>
      <c r="L12" s="2"/>
      <c r="M12" s="2"/>
      <c r="N12" s="2"/>
    </row>
    <row r="13" spans="1:14" x14ac:dyDescent="0.35">
      <c r="A13" s="1">
        <v>45446</v>
      </c>
      <c r="B13" t="s">
        <v>54</v>
      </c>
      <c r="C13" t="s">
        <v>97</v>
      </c>
      <c r="D13" s="2">
        <v>31.07</v>
      </c>
      <c r="E13" s="2"/>
      <c r="F13" s="2"/>
      <c r="G13" s="2"/>
      <c r="H13" s="2"/>
      <c r="I13" s="2"/>
      <c r="J13" s="2">
        <f>D13</f>
        <v>31.07</v>
      </c>
      <c r="K13" s="2"/>
      <c r="L13" s="2"/>
      <c r="M13" s="2"/>
      <c r="N13" s="2"/>
    </row>
    <row r="14" spans="1:14" x14ac:dyDescent="0.35">
      <c r="A14" s="1">
        <v>45488</v>
      </c>
      <c r="B14" s="1" t="s">
        <v>89</v>
      </c>
      <c r="C14" s="1" t="s">
        <v>107</v>
      </c>
      <c r="D14" s="2">
        <v>7.5</v>
      </c>
      <c r="E14" s="2"/>
      <c r="F14" s="2"/>
      <c r="G14" s="2"/>
      <c r="H14" s="2"/>
      <c r="I14" s="2"/>
      <c r="J14" s="2"/>
      <c r="K14" s="2">
        <f t="shared" si="0"/>
        <v>7.5</v>
      </c>
      <c r="L14" s="2"/>
      <c r="M14" s="2"/>
      <c r="N14" s="2"/>
    </row>
    <row r="15" spans="1:14" x14ac:dyDescent="0.35">
      <c r="A15" s="1">
        <v>45531</v>
      </c>
      <c r="B15" s="1" t="s">
        <v>135</v>
      </c>
      <c r="C15" s="1" t="s">
        <v>107</v>
      </c>
      <c r="D15" s="2">
        <v>15</v>
      </c>
      <c r="E15" s="2"/>
      <c r="F15" s="2"/>
      <c r="G15" s="2"/>
      <c r="H15" s="2"/>
      <c r="I15" s="2"/>
      <c r="J15" s="2"/>
      <c r="K15" s="2">
        <f t="shared" si="0"/>
        <v>15</v>
      </c>
      <c r="L15" s="2"/>
      <c r="M15" s="2"/>
      <c r="N15" s="2"/>
    </row>
    <row r="16" spans="1:14" x14ac:dyDescent="0.35">
      <c r="A16" s="1">
        <v>45537</v>
      </c>
      <c r="B16" s="1" t="s">
        <v>54</v>
      </c>
      <c r="C16" s="1" t="s">
        <v>97</v>
      </c>
      <c r="D16" s="2">
        <v>31.19</v>
      </c>
      <c r="E16" s="2"/>
      <c r="F16" s="2"/>
      <c r="G16" s="2"/>
      <c r="H16" s="2"/>
      <c r="I16" s="2"/>
      <c r="J16" s="2">
        <f>D16</f>
        <v>31.19</v>
      </c>
      <c r="K16" s="2"/>
      <c r="L16" s="2"/>
      <c r="M16" s="2"/>
      <c r="N16" s="2"/>
    </row>
    <row r="17" spans="1:16" x14ac:dyDescent="0.35">
      <c r="A17" s="1">
        <v>45548</v>
      </c>
      <c r="B17" s="1" t="s">
        <v>95</v>
      </c>
      <c r="C17" s="1" t="s">
        <v>13</v>
      </c>
      <c r="D17" s="2">
        <v>5400</v>
      </c>
      <c r="E17" s="2">
        <f>D17</f>
        <v>5400</v>
      </c>
      <c r="F17" s="2"/>
      <c r="G17" s="2"/>
      <c r="H17" s="2"/>
      <c r="I17" s="2"/>
      <c r="J17" s="2"/>
      <c r="K17" s="2"/>
      <c r="L17" s="2"/>
      <c r="M17" s="2"/>
      <c r="N17" s="2"/>
    </row>
    <row r="18" spans="1:16" x14ac:dyDescent="0.35">
      <c r="A18" s="1">
        <v>45596</v>
      </c>
      <c r="B18" s="1" t="s">
        <v>149</v>
      </c>
      <c r="C18" s="1" t="s">
        <v>107</v>
      </c>
      <c r="D18" s="2">
        <v>15</v>
      </c>
      <c r="E18" s="2"/>
      <c r="F18" s="2"/>
      <c r="G18" s="2"/>
      <c r="H18" s="2"/>
      <c r="I18" s="2"/>
      <c r="J18" s="2"/>
      <c r="K18" s="2">
        <f>D18</f>
        <v>15</v>
      </c>
      <c r="L18" s="2"/>
      <c r="M18" s="2"/>
      <c r="N18" s="2"/>
    </row>
    <row r="19" spans="1:16" x14ac:dyDescent="0.35">
      <c r="A19" s="1">
        <v>45600</v>
      </c>
      <c r="B19" s="1" t="s">
        <v>188</v>
      </c>
      <c r="C19" s="1" t="s">
        <v>107</v>
      </c>
      <c r="D19" s="2">
        <v>75</v>
      </c>
      <c r="E19" s="2"/>
      <c r="F19" s="2"/>
      <c r="G19" s="2"/>
      <c r="H19" s="2"/>
      <c r="I19" s="2"/>
      <c r="J19" s="2"/>
      <c r="K19" s="2">
        <f>D19</f>
        <v>75</v>
      </c>
      <c r="L19" s="2"/>
      <c r="M19" s="2"/>
      <c r="N19" s="2"/>
    </row>
    <row r="20" spans="1:16" x14ac:dyDescent="0.35">
      <c r="A20" s="1">
        <v>45628</v>
      </c>
      <c r="B20" s="1" t="s">
        <v>189</v>
      </c>
      <c r="C20" s="1" t="s">
        <v>107</v>
      </c>
      <c r="D20" s="2">
        <v>10</v>
      </c>
      <c r="E20" s="2"/>
      <c r="F20" s="2"/>
      <c r="G20" s="2"/>
      <c r="H20" s="2"/>
      <c r="I20" s="2"/>
      <c r="J20" s="2"/>
      <c r="K20" s="2">
        <f>D20</f>
        <v>10</v>
      </c>
      <c r="L20" s="2"/>
      <c r="M20" s="2"/>
      <c r="N20" s="2"/>
    </row>
    <row r="21" spans="1:16" x14ac:dyDescent="0.35">
      <c r="A21" s="1">
        <v>45628</v>
      </c>
      <c r="B21" s="1" t="s">
        <v>54</v>
      </c>
      <c r="C21" s="1" t="s">
        <v>97</v>
      </c>
      <c r="D21" s="2">
        <v>27.69</v>
      </c>
      <c r="E21" s="2"/>
      <c r="F21" s="2"/>
      <c r="G21" s="2"/>
      <c r="H21" s="2"/>
      <c r="I21" s="2"/>
      <c r="J21" s="2">
        <f>D21</f>
        <v>27.69</v>
      </c>
      <c r="K21" s="2"/>
      <c r="L21" s="2"/>
      <c r="M21" s="2"/>
      <c r="N21" s="2"/>
    </row>
    <row r="22" spans="1:16" x14ac:dyDescent="0.35">
      <c r="A22" s="1">
        <v>45664</v>
      </c>
      <c r="B22" s="1" t="s">
        <v>24</v>
      </c>
      <c r="C22" s="1" t="s">
        <v>190</v>
      </c>
      <c r="D22" s="2">
        <v>48.45</v>
      </c>
      <c r="E22" s="2"/>
      <c r="F22" s="2"/>
      <c r="G22" s="2"/>
      <c r="H22" s="2"/>
      <c r="I22" s="2"/>
      <c r="J22" s="2"/>
      <c r="K22" s="2"/>
      <c r="L22" s="2"/>
      <c r="M22" s="2">
        <f>D22</f>
        <v>48.45</v>
      </c>
      <c r="N22" s="2"/>
    </row>
    <row r="23" spans="1:16" x14ac:dyDescent="0.35">
      <c r="A23" s="13">
        <v>45684</v>
      </c>
      <c r="B23" s="13" t="s">
        <v>71</v>
      </c>
      <c r="C23" s="50" t="s">
        <v>173</v>
      </c>
      <c r="D23" s="2">
        <v>1665.83</v>
      </c>
      <c r="E23" s="15"/>
      <c r="F23" s="15"/>
      <c r="G23" s="2">
        <f>D23</f>
        <v>1665.83</v>
      </c>
      <c r="H23" s="2"/>
      <c r="I23" s="2"/>
      <c r="J23" s="2"/>
      <c r="K23" s="2"/>
      <c r="L23" s="2"/>
      <c r="M23" s="2"/>
      <c r="N23" s="2"/>
    </row>
    <row r="24" spans="1:16" x14ac:dyDescent="0.35">
      <c r="A24" s="1">
        <v>45719</v>
      </c>
      <c r="B24" s="1" t="s">
        <v>54</v>
      </c>
      <c r="C24" s="1" t="s">
        <v>97</v>
      </c>
      <c r="D24" s="2">
        <v>26.17</v>
      </c>
      <c r="E24" s="2"/>
      <c r="F24" s="2"/>
      <c r="G24" s="2"/>
      <c r="H24" s="2"/>
      <c r="I24" s="2"/>
      <c r="J24" s="2">
        <f>D24</f>
        <v>26.17</v>
      </c>
      <c r="K24" s="2"/>
      <c r="L24" s="2"/>
      <c r="M24" s="2"/>
      <c r="N24" s="2"/>
    </row>
    <row r="25" spans="1:16" x14ac:dyDescent="0.35">
      <c r="A25" s="1"/>
      <c r="B25" s="1"/>
      <c r="C25" s="1"/>
      <c r="G25" s="2"/>
      <c r="H25" s="2"/>
      <c r="I25" s="2"/>
      <c r="J25" s="2"/>
      <c r="K25" s="2"/>
      <c r="L25" s="2"/>
      <c r="M25" s="2"/>
      <c r="N25" s="2"/>
    </row>
    <row r="26" spans="1:16" x14ac:dyDescent="0.35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6" x14ac:dyDescent="0.35">
      <c r="K27" s="2"/>
      <c r="L27" s="2"/>
      <c r="M27" s="2"/>
      <c r="N27" s="2"/>
    </row>
    <row r="28" spans="1:16" x14ac:dyDescent="0.35">
      <c r="A28" s="1"/>
      <c r="B28" s="1"/>
      <c r="C28" s="1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6" x14ac:dyDescent="0.35">
      <c r="D29" s="2">
        <f t="shared" ref="D29:N29" si="1">SUM(D2:D28)</f>
        <v>13643.65</v>
      </c>
      <c r="E29" s="2">
        <f t="shared" si="1"/>
        <v>10800</v>
      </c>
      <c r="F29" s="2">
        <f t="shared" si="1"/>
        <v>709</v>
      </c>
      <c r="G29" s="2">
        <f t="shared" si="1"/>
        <v>1665.83</v>
      </c>
      <c r="H29" s="2">
        <f t="shared" si="1"/>
        <v>0</v>
      </c>
      <c r="I29" s="2">
        <f t="shared" si="1"/>
        <v>16.75</v>
      </c>
      <c r="J29" s="2">
        <f t="shared" si="1"/>
        <v>116.12</v>
      </c>
      <c r="K29" s="2">
        <f t="shared" si="1"/>
        <v>287.5</v>
      </c>
      <c r="L29" s="2">
        <f t="shared" si="1"/>
        <v>0</v>
      </c>
      <c r="M29" s="2">
        <f t="shared" si="1"/>
        <v>48.45</v>
      </c>
      <c r="N29" s="2">
        <f t="shared" si="1"/>
        <v>0</v>
      </c>
      <c r="P29" s="2">
        <f>SUM(E29:N29)</f>
        <v>13643.650000000001</v>
      </c>
    </row>
    <row r="30" spans="1:16" x14ac:dyDescent="0.35">
      <c r="A30" t="s">
        <v>48</v>
      </c>
      <c r="D30" s="8">
        <f>E29</f>
        <v>10800</v>
      </c>
    </row>
    <row r="31" spans="1:16" x14ac:dyDescent="0.35">
      <c r="D31" s="2">
        <f>D29-D30</f>
        <v>2843.6499999999996</v>
      </c>
    </row>
  </sheetData>
  <pageMargins left="0.70866141732283472" right="0.70866141732283472" top="1.0833333333333333" bottom="0.74803149606299213" header="0.31496062992125984" footer="0.31496062992125984"/>
  <pageSetup paperSize="9" scale="83" orientation="landscape" r:id="rId1"/>
  <headerFooter>
    <oddHeader>&amp;C&amp;"-,Bold"&amp;14Barford St John and St Michael Parish Council
Receipts for the Year Ended 31st March 2025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03"/>
  <sheetViews>
    <sheetView view="pageLayout" topLeftCell="G1" zoomScaleNormal="100" workbookViewId="0">
      <selection activeCell="P1" sqref="P1"/>
    </sheetView>
  </sheetViews>
  <sheetFormatPr defaultRowHeight="14.5" x14ac:dyDescent="0.35"/>
  <cols>
    <col min="1" max="1" width="9.1796875" customWidth="1"/>
    <col min="2" max="2" width="8.81640625" customWidth="1"/>
    <col min="3" max="3" width="9.81640625" bestFit="1" customWidth="1"/>
    <col min="4" max="4" width="18.54296875" bestFit="1" customWidth="1"/>
    <col min="5" max="5" width="26.81640625" bestFit="1" customWidth="1"/>
    <col min="6" max="6" width="10.1796875" customWidth="1"/>
    <col min="7" max="7" width="9.1796875" style="2" bestFit="1" customWidth="1"/>
    <col min="8" max="8" width="9.1796875" style="5" bestFit="1" customWidth="1"/>
    <col min="9" max="9" width="8.453125" style="5" bestFit="1" customWidth="1"/>
    <col min="10" max="10" width="8.1796875" style="2" bestFit="1" customWidth="1"/>
    <col min="11" max="12" width="6.54296875" style="2" bestFit="1" customWidth="1"/>
    <col min="13" max="13" width="6.36328125" style="2" bestFit="1" customWidth="1"/>
    <col min="14" max="14" width="6.54296875" style="2" bestFit="1" customWidth="1"/>
    <col min="15" max="15" width="6.36328125" style="2" bestFit="1" customWidth="1"/>
    <col min="16" max="16" width="5.36328125" style="2" bestFit="1" customWidth="1"/>
    <col min="17" max="18" width="8.1796875" style="2" bestFit="1" customWidth="1"/>
    <col min="19" max="20" width="6.54296875" style="2" bestFit="1" customWidth="1"/>
    <col min="21" max="21" width="9.1796875" style="2" bestFit="1" customWidth="1"/>
    <col min="22" max="23" width="6.36328125" style="2" bestFit="1" customWidth="1"/>
    <col min="24" max="24" width="8.81640625" style="2" bestFit="1" customWidth="1"/>
    <col min="25" max="25" width="6.36328125" style="2" bestFit="1" customWidth="1"/>
    <col min="26" max="26" width="7.81640625" style="2" bestFit="1" customWidth="1"/>
  </cols>
  <sheetData>
    <row r="1" spans="1:26" ht="103" x14ac:dyDescent="0.35">
      <c r="A1" s="6" t="s">
        <v>55</v>
      </c>
      <c r="B1" s="6" t="s">
        <v>47</v>
      </c>
      <c r="C1" s="6" t="s">
        <v>80</v>
      </c>
      <c r="D1" s="6" t="s">
        <v>20</v>
      </c>
      <c r="E1" s="6"/>
      <c r="F1" s="6"/>
      <c r="G1" s="14" t="s">
        <v>12</v>
      </c>
      <c r="H1" s="6" t="s">
        <v>36</v>
      </c>
      <c r="I1" s="6" t="s">
        <v>8</v>
      </c>
      <c r="J1" s="3" t="s">
        <v>1</v>
      </c>
      <c r="K1" s="17" t="s">
        <v>50</v>
      </c>
      <c r="L1" s="3" t="s">
        <v>3</v>
      </c>
      <c r="M1" s="3" t="s">
        <v>4</v>
      </c>
      <c r="N1" s="3" t="s">
        <v>62</v>
      </c>
      <c r="O1" s="3" t="s">
        <v>60</v>
      </c>
      <c r="P1" s="3" t="s">
        <v>53</v>
      </c>
      <c r="Q1" s="3" t="s">
        <v>5</v>
      </c>
      <c r="R1" s="3" t="s">
        <v>6</v>
      </c>
      <c r="S1" s="3" t="s">
        <v>22</v>
      </c>
      <c r="T1" s="3" t="s">
        <v>21</v>
      </c>
      <c r="U1" s="3" t="s">
        <v>65</v>
      </c>
      <c r="V1" s="3" t="s">
        <v>52</v>
      </c>
      <c r="W1" s="3" t="s">
        <v>2</v>
      </c>
      <c r="X1" s="3" t="s">
        <v>9</v>
      </c>
      <c r="Y1" s="3" t="s">
        <v>10</v>
      </c>
      <c r="Z1" s="3" t="s">
        <v>11</v>
      </c>
    </row>
    <row r="2" spans="1:26" x14ac:dyDescent="0.35">
      <c r="A2" s="13">
        <v>45404</v>
      </c>
      <c r="B2" s="13"/>
      <c r="C2" s="13"/>
      <c r="D2" s="15" t="s">
        <v>83</v>
      </c>
      <c r="E2" s="15" t="s">
        <v>91</v>
      </c>
      <c r="F2" s="15"/>
      <c r="G2" s="16">
        <v>9.1300000000000008</v>
      </c>
      <c r="H2" s="16">
        <v>7.61</v>
      </c>
      <c r="I2" s="16">
        <f>G2-H2</f>
        <v>1.5200000000000005</v>
      </c>
      <c r="S2" s="2">
        <f>H2</f>
        <v>7.61</v>
      </c>
      <c r="T2" s="3"/>
      <c r="U2" s="3"/>
      <c r="V2" s="3"/>
      <c r="W2" s="3"/>
      <c r="X2" s="3"/>
      <c r="Y2" s="3"/>
      <c r="Z2" s="3"/>
    </row>
    <row r="3" spans="1:26" x14ac:dyDescent="0.35">
      <c r="A3" s="13">
        <v>45420</v>
      </c>
      <c r="B3" s="6"/>
      <c r="C3" s="6"/>
      <c r="D3" s="15" t="s">
        <v>24</v>
      </c>
      <c r="E3" s="15" t="s">
        <v>116</v>
      </c>
      <c r="F3" s="15"/>
      <c r="G3" s="2">
        <v>26</v>
      </c>
      <c r="H3" s="2"/>
      <c r="I3" s="2"/>
      <c r="K3" s="2">
        <f>G3</f>
        <v>26</v>
      </c>
    </row>
    <row r="4" spans="1:26" x14ac:dyDescent="0.35">
      <c r="A4" s="13"/>
      <c r="B4" s="6"/>
      <c r="C4" s="6"/>
      <c r="D4" s="6" t="s">
        <v>24</v>
      </c>
      <c r="E4" s="6" t="s">
        <v>117</v>
      </c>
      <c r="F4" s="6"/>
      <c r="G4" s="2">
        <v>26</v>
      </c>
      <c r="H4" s="2"/>
      <c r="I4" s="2"/>
      <c r="K4" s="2">
        <f>G4</f>
        <v>26</v>
      </c>
    </row>
    <row r="5" spans="1:26" x14ac:dyDescent="0.35">
      <c r="A5" s="13"/>
      <c r="B5" s="6"/>
      <c r="C5" s="6"/>
      <c r="D5" s="6" t="s">
        <v>0</v>
      </c>
      <c r="E5" s="6" t="s">
        <v>118</v>
      </c>
      <c r="F5" s="6"/>
      <c r="G5" s="2">
        <v>52.8</v>
      </c>
      <c r="H5" s="2"/>
      <c r="I5" s="2"/>
      <c r="J5" s="2">
        <f>G5</f>
        <v>52.8</v>
      </c>
    </row>
    <row r="6" spans="1:26" x14ac:dyDescent="0.35">
      <c r="A6" s="13"/>
      <c r="B6" s="6"/>
      <c r="C6" s="6"/>
      <c r="D6" s="6" t="s">
        <v>0</v>
      </c>
      <c r="E6" s="6" t="s">
        <v>68</v>
      </c>
      <c r="F6" s="6"/>
      <c r="G6" s="2">
        <v>53</v>
      </c>
      <c r="H6" s="2"/>
      <c r="I6" s="2"/>
      <c r="J6" s="2">
        <f>G6</f>
        <v>53</v>
      </c>
    </row>
    <row r="7" spans="1:26" x14ac:dyDescent="0.35">
      <c r="A7" s="13"/>
      <c r="B7" s="13">
        <v>45394</v>
      </c>
      <c r="C7" s="6"/>
      <c r="D7" s="6" t="s">
        <v>119</v>
      </c>
      <c r="E7" s="6" t="s">
        <v>148</v>
      </c>
      <c r="F7" s="6"/>
      <c r="G7" s="2">
        <v>55.16</v>
      </c>
      <c r="H7" s="2">
        <v>45.96</v>
      </c>
      <c r="I7" s="2">
        <f>G7-H7</f>
        <v>9.1999999999999957</v>
      </c>
      <c r="W7" s="2">
        <f>H7</f>
        <v>45.96</v>
      </c>
    </row>
    <row r="8" spans="1:26" x14ac:dyDescent="0.35">
      <c r="A8" s="13"/>
      <c r="B8" s="13"/>
      <c r="C8" s="6"/>
      <c r="D8" s="6" t="s">
        <v>69</v>
      </c>
      <c r="E8" s="6" t="s">
        <v>174</v>
      </c>
      <c r="F8" s="6"/>
      <c r="G8" s="2">
        <v>158.35</v>
      </c>
      <c r="H8" s="5">
        <v>131.96</v>
      </c>
      <c r="I8" s="5">
        <f>G8-H8</f>
        <v>26.389999999999986</v>
      </c>
      <c r="Q8" s="2">
        <f>H8</f>
        <v>131.96</v>
      </c>
    </row>
    <row r="9" spans="1:26" x14ac:dyDescent="0.35">
      <c r="A9" s="13"/>
      <c r="B9" s="13"/>
      <c r="C9" s="50"/>
      <c r="D9" s="6" t="s">
        <v>69</v>
      </c>
      <c r="E9" s="6" t="s">
        <v>120</v>
      </c>
      <c r="F9" s="6"/>
      <c r="G9" s="2">
        <v>158.35</v>
      </c>
      <c r="H9" s="5">
        <v>131.96</v>
      </c>
      <c r="I9" s="5">
        <f>G9-H9</f>
        <v>26.389999999999986</v>
      </c>
      <c r="Q9" s="2">
        <f>H9</f>
        <v>131.96</v>
      </c>
    </row>
    <row r="10" spans="1:26" x14ac:dyDescent="0.35">
      <c r="A10" s="13"/>
      <c r="B10" s="13"/>
      <c r="C10" s="6"/>
      <c r="D10" s="6" t="s">
        <v>24</v>
      </c>
      <c r="E10" s="6" t="s">
        <v>121</v>
      </c>
      <c r="F10" s="6"/>
      <c r="G10" s="2">
        <v>211.8</v>
      </c>
      <c r="J10" s="2">
        <f>G10</f>
        <v>211.8</v>
      </c>
    </row>
    <row r="11" spans="1:26" x14ac:dyDescent="0.35">
      <c r="A11" s="13"/>
      <c r="B11" s="13"/>
      <c r="C11" s="13"/>
      <c r="D11" s="6" t="s">
        <v>95</v>
      </c>
      <c r="E11" s="6" t="s">
        <v>21</v>
      </c>
      <c r="F11" s="6"/>
      <c r="G11" s="2">
        <v>267.7</v>
      </c>
      <c r="H11" s="5">
        <f>223.08</f>
        <v>223.08</v>
      </c>
      <c r="I11" s="5">
        <f>G11-H11</f>
        <v>44.619999999999976</v>
      </c>
      <c r="T11" s="2">
        <f>H11</f>
        <v>223.08</v>
      </c>
    </row>
    <row r="12" spans="1:26" x14ac:dyDescent="0.35">
      <c r="A12" s="13">
        <v>45433</v>
      </c>
      <c r="B12" s="13"/>
      <c r="C12" s="13"/>
      <c r="D12" s="15" t="s">
        <v>24</v>
      </c>
      <c r="E12" s="15" t="s">
        <v>67</v>
      </c>
      <c r="F12" s="15"/>
      <c r="G12" s="16">
        <v>211.8</v>
      </c>
      <c r="H12" s="16"/>
      <c r="I12" s="16"/>
      <c r="J12" s="2">
        <f>G12</f>
        <v>211.8</v>
      </c>
    </row>
    <row r="13" spans="1:26" x14ac:dyDescent="0.35">
      <c r="A13" s="13">
        <v>45434</v>
      </c>
      <c r="B13" s="13"/>
      <c r="C13" s="6"/>
      <c r="D13" s="15" t="s">
        <v>83</v>
      </c>
      <c r="E13" s="15" t="s">
        <v>91</v>
      </c>
      <c r="F13" s="15"/>
      <c r="G13" s="2">
        <v>6.3</v>
      </c>
      <c r="H13" s="5">
        <v>5.25</v>
      </c>
      <c r="I13" s="5">
        <f>G13-H13</f>
        <v>1.0499999999999998</v>
      </c>
      <c r="S13" s="2">
        <f>H13</f>
        <v>5.25</v>
      </c>
    </row>
    <row r="14" spans="1:26" x14ac:dyDescent="0.35">
      <c r="A14" s="13">
        <v>45467</v>
      </c>
      <c r="B14" s="13"/>
      <c r="C14" s="50"/>
      <c r="D14" s="15" t="s">
        <v>83</v>
      </c>
      <c r="E14" s="15" t="s">
        <v>91</v>
      </c>
      <c r="F14" s="15"/>
      <c r="G14" s="2">
        <v>9.08</v>
      </c>
      <c r="H14" s="5">
        <v>7.56</v>
      </c>
      <c r="I14" s="5">
        <f>G14-H14</f>
        <v>1.5200000000000005</v>
      </c>
      <c r="S14" s="2">
        <f>H14</f>
        <v>7.56</v>
      </c>
    </row>
    <row r="15" spans="1:26" x14ac:dyDescent="0.35">
      <c r="A15" s="13">
        <v>45481</v>
      </c>
      <c r="B15" s="13"/>
      <c r="C15" s="50"/>
      <c r="D15" s="15" t="s">
        <v>24</v>
      </c>
      <c r="E15" s="15" t="s">
        <v>122</v>
      </c>
      <c r="F15" s="15"/>
      <c r="G15" s="2">
        <v>26</v>
      </c>
      <c r="K15" s="2">
        <f>G15</f>
        <v>26</v>
      </c>
    </row>
    <row r="16" spans="1:26" x14ac:dyDescent="0.35">
      <c r="A16" s="13"/>
      <c r="B16" s="13"/>
      <c r="C16" s="50"/>
      <c r="D16" s="15" t="s">
        <v>24</v>
      </c>
      <c r="E16" s="15" t="s">
        <v>123</v>
      </c>
      <c r="F16" s="15"/>
      <c r="G16" s="2">
        <v>26</v>
      </c>
      <c r="K16" s="2">
        <f>G16</f>
        <v>26</v>
      </c>
    </row>
    <row r="17" spans="1:26" x14ac:dyDescent="0.35">
      <c r="A17" s="13"/>
      <c r="B17" s="13"/>
      <c r="C17" s="50"/>
      <c r="D17" s="15" t="s">
        <v>0</v>
      </c>
      <c r="E17" s="15" t="s">
        <v>90</v>
      </c>
      <c r="F17" s="15"/>
      <c r="G17" s="2">
        <v>52.8</v>
      </c>
      <c r="J17" s="2">
        <f>G17</f>
        <v>52.8</v>
      </c>
    </row>
    <row r="18" spans="1:26" x14ac:dyDescent="0.35">
      <c r="A18" s="13"/>
      <c r="B18" s="13"/>
      <c r="C18" s="50"/>
      <c r="D18" s="15" t="s">
        <v>0</v>
      </c>
      <c r="E18" s="15" t="s">
        <v>70</v>
      </c>
      <c r="F18" s="15"/>
      <c r="G18" s="2">
        <v>53</v>
      </c>
      <c r="H18" s="21"/>
      <c r="I18" s="21"/>
      <c r="J18" s="2">
        <f>G18</f>
        <v>53</v>
      </c>
    </row>
    <row r="19" spans="1:26" x14ac:dyDescent="0.35">
      <c r="A19" s="13"/>
      <c r="B19" s="13"/>
      <c r="C19" s="50"/>
      <c r="D19" s="15" t="s">
        <v>69</v>
      </c>
      <c r="E19" s="15" t="s">
        <v>124</v>
      </c>
      <c r="F19" s="15"/>
      <c r="G19" s="2">
        <v>158.35</v>
      </c>
      <c r="H19" s="21">
        <v>131.96</v>
      </c>
      <c r="I19" s="21">
        <f>G19-H19</f>
        <v>26.389999999999986</v>
      </c>
      <c r="Q19" s="2">
        <f>H19</f>
        <v>131.96</v>
      </c>
    </row>
    <row r="20" spans="1:26" x14ac:dyDescent="0.35">
      <c r="A20" s="13"/>
      <c r="B20" s="13"/>
      <c r="C20" s="6"/>
      <c r="D20" s="15" t="s">
        <v>24</v>
      </c>
      <c r="E20" s="15" t="s">
        <v>56</v>
      </c>
      <c r="F20" s="15"/>
      <c r="G20" s="2">
        <v>211.6</v>
      </c>
      <c r="H20" s="21"/>
      <c r="I20" s="21"/>
      <c r="J20" s="2">
        <f>G20</f>
        <v>211.6</v>
      </c>
    </row>
    <row r="21" spans="1:26" x14ac:dyDescent="0.35">
      <c r="A21" s="13"/>
      <c r="B21" s="13"/>
      <c r="C21" s="50"/>
      <c r="D21" s="15" t="s">
        <v>24</v>
      </c>
      <c r="E21" s="15" t="s">
        <v>125</v>
      </c>
      <c r="F21" s="15"/>
      <c r="G21" s="2">
        <v>211.8</v>
      </c>
      <c r="H21" s="21"/>
      <c r="I21" s="21"/>
      <c r="J21" s="2">
        <f>G21</f>
        <v>211.8</v>
      </c>
    </row>
    <row r="22" spans="1:26" x14ac:dyDescent="0.35">
      <c r="A22" s="13"/>
      <c r="B22" s="13"/>
      <c r="C22" s="50"/>
      <c r="D22" s="15" t="s">
        <v>101</v>
      </c>
      <c r="E22" s="15" t="s">
        <v>126</v>
      </c>
      <c r="F22" s="15"/>
      <c r="G22" s="2">
        <v>331.8</v>
      </c>
      <c r="H22" s="21"/>
      <c r="I22" s="21"/>
      <c r="Z22" s="2">
        <f>G22</f>
        <v>331.8</v>
      </c>
    </row>
    <row r="23" spans="1:26" x14ac:dyDescent="0.35">
      <c r="A23" s="13"/>
      <c r="B23" s="13"/>
      <c r="C23" s="50"/>
      <c r="D23" s="15" t="s">
        <v>46</v>
      </c>
      <c r="E23" s="15" t="s">
        <v>3</v>
      </c>
      <c r="F23" s="15"/>
      <c r="G23" s="2">
        <v>545.83000000000004</v>
      </c>
      <c r="H23" s="21"/>
      <c r="I23" s="21"/>
      <c r="L23" s="2">
        <f>G23</f>
        <v>545.83000000000004</v>
      </c>
    </row>
    <row r="24" spans="1:26" x14ac:dyDescent="0.35">
      <c r="A24" s="13"/>
      <c r="B24" s="13"/>
      <c r="C24" s="50"/>
      <c r="D24" s="15" t="s">
        <v>127</v>
      </c>
      <c r="E24" s="15" t="s">
        <v>128</v>
      </c>
      <c r="F24" s="15"/>
      <c r="G24" s="2">
        <v>844.65</v>
      </c>
      <c r="H24" s="21">
        <v>703.88</v>
      </c>
      <c r="I24" s="21">
        <f>G24-H24</f>
        <v>140.76999999999998</v>
      </c>
      <c r="Q24" s="2">
        <f>H24</f>
        <v>703.88</v>
      </c>
    </row>
    <row r="25" spans="1:26" x14ac:dyDescent="0.35">
      <c r="A25" s="13">
        <v>45495</v>
      </c>
      <c r="B25" s="13"/>
      <c r="C25" s="50"/>
      <c r="D25" s="15" t="s">
        <v>83</v>
      </c>
      <c r="E25" s="15" t="s">
        <v>91</v>
      </c>
      <c r="F25" s="15"/>
      <c r="G25" s="2">
        <v>25.69</v>
      </c>
      <c r="H25" s="21">
        <v>21.41</v>
      </c>
      <c r="I25" s="21">
        <f>G25-H25</f>
        <v>4.2800000000000011</v>
      </c>
      <c r="S25" s="2">
        <f>H25</f>
        <v>21.41</v>
      </c>
    </row>
    <row r="26" spans="1:26" x14ac:dyDescent="0.35">
      <c r="A26" s="1">
        <v>45487</v>
      </c>
      <c r="B26" s="13"/>
      <c r="C26" s="50"/>
      <c r="D26" s="15" t="s">
        <v>24</v>
      </c>
      <c r="E26" s="15" t="s">
        <v>129</v>
      </c>
      <c r="F26" s="15"/>
      <c r="G26" s="2">
        <v>26</v>
      </c>
      <c r="K26" s="2">
        <f>G26</f>
        <v>26</v>
      </c>
    </row>
    <row r="27" spans="1:26" x14ac:dyDescent="0.35">
      <c r="A27" s="13"/>
      <c r="B27" s="13"/>
      <c r="C27" s="50"/>
      <c r="D27" s="15" t="s">
        <v>24</v>
      </c>
      <c r="E27" s="15" t="s">
        <v>130</v>
      </c>
      <c r="F27" s="15"/>
      <c r="G27" s="2">
        <v>26</v>
      </c>
      <c r="H27" s="21"/>
      <c r="I27" s="21"/>
      <c r="K27" s="2">
        <f>G27</f>
        <v>26</v>
      </c>
    </row>
    <row r="28" spans="1:26" x14ac:dyDescent="0.35">
      <c r="A28" s="13"/>
      <c r="B28" s="13"/>
      <c r="C28" s="50"/>
      <c r="D28" s="15" t="s">
        <v>0</v>
      </c>
      <c r="E28" s="15" t="s">
        <v>131</v>
      </c>
      <c r="F28" s="15"/>
      <c r="G28" s="2">
        <v>52.8</v>
      </c>
      <c r="H28" s="21"/>
      <c r="I28" s="21"/>
      <c r="J28" s="2">
        <f>G28</f>
        <v>52.8</v>
      </c>
    </row>
    <row r="29" spans="1:26" x14ac:dyDescent="0.35">
      <c r="A29" s="13"/>
      <c r="B29" s="13"/>
      <c r="C29" s="6"/>
      <c r="D29" s="15" t="s">
        <v>0</v>
      </c>
      <c r="E29" s="15" t="s">
        <v>132</v>
      </c>
      <c r="F29" s="15"/>
      <c r="G29" s="2">
        <v>53</v>
      </c>
      <c r="H29" s="21"/>
      <c r="I29" s="21"/>
      <c r="J29" s="2">
        <f>G29</f>
        <v>53</v>
      </c>
    </row>
    <row r="30" spans="1:26" x14ac:dyDescent="0.35">
      <c r="A30" s="13"/>
      <c r="B30" s="13"/>
      <c r="C30" s="50"/>
      <c r="D30" s="15" t="s">
        <v>96</v>
      </c>
      <c r="E30" s="15" t="s">
        <v>133</v>
      </c>
      <c r="F30" s="15"/>
      <c r="G30" s="2">
        <v>187.2</v>
      </c>
      <c r="H30" s="21">
        <v>156</v>
      </c>
      <c r="I30" s="21">
        <f>G30-H30</f>
        <v>31.199999999999989</v>
      </c>
      <c r="V30" s="2">
        <f>H30</f>
        <v>156</v>
      </c>
    </row>
    <row r="31" spans="1:26" x14ac:dyDescent="0.35">
      <c r="A31" s="13"/>
      <c r="B31" s="13"/>
      <c r="C31" s="50"/>
      <c r="D31" s="15" t="s">
        <v>24</v>
      </c>
      <c r="E31" s="15" t="s">
        <v>98</v>
      </c>
      <c r="F31" s="15"/>
      <c r="G31" s="2">
        <v>211.6</v>
      </c>
      <c r="H31" s="21"/>
      <c r="I31" s="21"/>
      <c r="J31" s="2">
        <f>G31</f>
        <v>211.6</v>
      </c>
    </row>
    <row r="32" spans="1:26" x14ac:dyDescent="0.35">
      <c r="A32" s="13"/>
      <c r="B32" s="13"/>
      <c r="C32" s="50"/>
      <c r="D32" s="15" t="s">
        <v>24</v>
      </c>
      <c r="E32" s="15" t="s">
        <v>125</v>
      </c>
      <c r="F32" s="15"/>
      <c r="G32" s="2">
        <v>211.8</v>
      </c>
      <c r="H32" s="21"/>
      <c r="I32" s="21"/>
      <c r="J32" s="2">
        <f>G32</f>
        <v>211.8</v>
      </c>
    </row>
    <row r="33" spans="1:26" x14ac:dyDescent="0.35">
      <c r="A33" s="13"/>
      <c r="B33" s="13"/>
      <c r="C33" s="6"/>
      <c r="D33" s="15" t="s">
        <v>69</v>
      </c>
      <c r="E33" s="15" t="s">
        <v>134</v>
      </c>
      <c r="G33" s="2">
        <v>656.97</v>
      </c>
      <c r="H33" s="5">
        <v>547.48</v>
      </c>
      <c r="I33" s="5">
        <f>G33-H33</f>
        <v>109.49000000000001</v>
      </c>
      <c r="Q33" s="2">
        <f>H33</f>
        <v>547.48</v>
      </c>
    </row>
    <row r="34" spans="1:26" x14ac:dyDescent="0.35">
      <c r="A34" s="13">
        <v>45524</v>
      </c>
      <c r="B34" s="13"/>
      <c r="C34" s="50"/>
      <c r="D34" s="15" t="s">
        <v>83</v>
      </c>
      <c r="E34" s="15" t="s">
        <v>91</v>
      </c>
      <c r="G34" s="2">
        <v>104.72</v>
      </c>
      <c r="H34" s="5">
        <v>87.26</v>
      </c>
      <c r="I34" s="5">
        <f>G34-H34</f>
        <v>17.459999999999994</v>
      </c>
      <c r="S34" s="2">
        <f>H34</f>
        <v>87.26</v>
      </c>
    </row>
    <row r="35" spans="1:26" x14ac:dyDescent="0.35">
      <c r="A35" s="13">
        <v>45540</v>
      </c>
      <c r="B35" s="13"/>
      <c r="C35" s="50"/>
      <c r="D35" s="15" t="s">
        <v>24</v>
      </c>
      <c r="E35" s="15" t="s">
        <v>143</v>
      </c>
      <c r="G35" s="2">
        <v>26</v>
      </c>
      <c r="K35" s="2">
        <f>G35</f>
        <v>26</v>
      </c>
    </row>
    <row r="36" spans="1:26" x14ac:dyDescent="0.35">
      <c r="A36" s="13"/>
      <c r="B36" s="13"/>
      <c r="C36" s="50"/>
      <c r="D36" s="15" t="s">
        <v>0</v>
      </c>
      <c r="E36" s="15" t="s">
        <v>142</v>
      </c>
      <c r="F36" s="15"/>
      <c r="G36" s="2">
        <v>53</v>
      </c>
      <c r="H36" s="21"/>
      <c r="I36" s="21"/>
      <c r="J36" s="2">
        <f>G36</f>
        <v>53</v>
      </c>
    </row>
    <row r="37" spans="1:26" x14ac:dyDescent="0.35">
      <c r="A37" s="13"/>
      <c r="B37" s="13"/>
      <c r="C37" s="50"/>
      <c r="D37" s="15" t="s">
        <v>24</v>
      </c>
      <c r="E37" s="15" t="s">
        <v>141</v>
      </c>
      <c r="F37" s="15"/>
      <c r="G37" s="2">
        <v>211.6</v>
      </c>
      <c r="H37" s="21"/>
      <c r="I37" s="21"/>
      <c r="J37" s="2">
        <f>G37</f>
        <v>211.6</v>
      </c>
    </row>
    <row r="38" spans="1:26" x14ac:dyDescent="0.35">
      <c r="A38" s="13"/>
      <c r="B38" s="13"/>
      <c r="C38" s="50"/>
      <c r="D38" s="15" t="s">
        <v>69</v>
      </c>
      <c r="E38" s="15" t="s">
        <v>136</v>
      </c>
      <c r="F38" s="15"/>
      <c r="G38" s="2">
        <v>407.66</v>
      </c>
      <c r="H38" s="21">
        <v>339.72</v>
      </c>
      <c r="I38" s="21">
        <f>G38-H38</f>
        <v>67.94</v>
      </c>
      <c r="Q38" s="2">
        <f>H38</f>
        <v>339.72</v>
      </c>
    </row>
    <row r="39" spans="1:26" x14ac:dyDescent="0.35">
      <c r="A39" s="13"/>
      <c r="B39" s="13"/>
      <c r="C39" s="6"/>
      <c r="D39" s="15" t="s">
        <v>137</v>
      </c>
      <c r="E39" s="15" t="s">
        <v>138</v>
      </c>
      <c r="F39" s="15"/>
      <c r="G39" s="2">
        <v>831.6</v>
      </c>
      <c r="H39" s="21">
        <v>693</v>
      </c>
      <c r="I39" s="21">
        <f>G39-H39</f>
        <v>138.60000000000002</v>
      </c>
      <c r="Z39" s="2">
        <f>H39</f>
        <v>693</v>
      </c>
    </row>
    <row r="40" spans="1:26" x14ac:dyDescent="0.35">
      <c r="A40" s="13"/>
      <c r="B40" s="13"/>
      <c r="C40" s="50"/>
      <c r="D40" s="15" t="s">
        <v>139</v>
      </c>
      <c r="E40" s="15"/>
      <c r="F40" s="15"/>
      <c r="G40" s="2">
        <v>900</v>
      </c>
      <c r="H40" s="21"/>
      <c r="I40" s="21"/>
      <c r="R40" s="2">
        <f>G40</f>
        <v>900</v>
      </c>
    </row>
    <row r="41" spans="1:26" x14ac:dyDescent="0.35">
      <c r="A41" s="13"/>
      <c r="B41" s="13"/>
      <c r="C41" s="50"/>
      <c r="D41" s="15" t="s">
        <v>140</v>
      </c>
      <c r="E41" s="15"/>
      <c r="F41" s="15"/>
      <c r="G41" s="2">
        <v>900</v>
      </c>
      <c r="H41" s="21"/>
      <c r="I41" s="21"/>
      <c r="R41" s="2">
        <f>G41</f>
        <v>900</v>
      </c>
    </row>
    <row r="42" spans="1:26" x14ac:dyDescent="0.35">
      <c r="A42" s="13">
        <v>45555</v>
      </c>
      <c r="B42" s="13"/>
      <c r="C42" s="50"/>
      <c r="D42" s="15" t="s">
        <v>83</v>
      </c>
      <c r="E42" s="15"/>
      <c r="F42" s="15"/>
      <c r="G42" s="2">
        <v>30.93</v>
      </c>
      <c r="H42" s="21">
        <v>25.76</v>
      </c>
      <c r="I42" s="21">
        <f>G42-H42</f>
        <v>5.1699999999999982</v>
      </c>
      <c r="S42" s="2">
        <f>H42</f>
        <v>25.76</v>
      </c>
    </row>
    <row r="43" spans="1:26" x14ac:dyDescent="0.35">
      <c r="A43" s="13">
        <v>45566</v>
      </c>
      <c r="B43" s="13"/>
      <c r="C43" s="50"/>
      <c r="D43" s="15" t="s">
        <v>140</v>
      </c>
      <c r="E43" s="15"/>
      <c r="F43" s="15"/>
      <c r="G43" s="2">
        <v>400</v>
      </c>
      <c r="H43" s="21"/>
      <c r="I43" s="21"/>
      <c r="R43" s="2">
        <f>G43</f>
        <v>400</v>
      </c>
    </row>
    <row r="44" spans="1:26" x14ac:dyDescent="0.35">
      <c r="A44" s="13">
        <v>45594</v>
      </c>
      <c r="B44" s="13"/>
      <c r="C44" s="50"/>
      <c r="D44" s="15" t="s">
        <v>83</v>
      </c>
      <c r="E44" s="15"/>
      <c r="F44" s="15"/>
      <c r="G44" s="2">
        <v>15.64</v>
      </c>
      <c r="H44" s="21">
        <v>13.03</v>
      </c>
      <c r="I44" s="21">
        <f>G44-H44</f>
        <v>2.6100000000000012</v>
      </c>
      <c r="S44" s="2">
        <f>H44</f>
        <v>13.03</v>
      </c>
    </row>
    <row r="45" spans="1:26" x14ac:dyDescent="0.35">
      <c r="A45" s="13">
        <v>45607</v>
      </c>
      <c r="B45" s="13"/>
      <c r="C45" s="50"/>
      <c r="D45" s="15" t="s">
        <v>24</v>
      </c>
      <c r="E45" s="15" t="s">
        <v>146</v>
      </c>
      <c r="F45" s="15"/>
      <c r="G45" s="2">
        <v>26</v>
      </c>
      <c r="H45" s="21"/>
      <c r="I45" s="21"/>
      <c r="K45" s="2">
        <f>G45</f>
        <v>26</v>
      </c>
    </row>
    <row r="46" spans="1:26" x14ac:dyDescent="0.35">
      <c r="A46" s="13"/>
      <c r="B46" s="13"/>
      <c r="C46" s="50"/>
      <c r="D46" s="15" t="s">
        <v>24</v>
      </c>
      <c r="E46" s="15" t="s">
        <v>150</v>
      </c>
      <c r="F46" s="15"/>
      <c r="G46" s="2">
        <v>26</v>
      </c>
      <c r="H46" s="21"/>
      <c r="I46" s="21"/>
      <c r="K46" s="2">
        <f>G46</f>
        <v>26</v>
      </c>
    </row>
    <row r="47" spans="1:26" x14ac:dyDescent="0.35">
      <c r="A47" s="13"/>
      <c r="B47" s="13"/>
      <c r="C47" s="50"/>
      <c r="D47" s="15" t="s">
        <v>24</v>
      </c>
      <c r="E47" s="15" t="s">
        <v>176</v>
      </c>
      <c r="F47" s="15"/>
      <c r="G47" s="2">
        <v>48.45</v>
      </c>
      <c r="H47" s="21">
        <f>G47-I47</f>
        <v>40.370000000000005</v>
      </c>
      <c r="I47" s="21">
        <v>8.08</v>
      </c>
      <c r="Z47" s="2">
        <f>H47</f>
        <v>40.370000000000005</v>
      </c>
    </row>
    <row r="48" spans="1:26" x14ac:dyDescent="0.35">
      <c r="A48" s="13"/>
      <c r="B48" s="13"/>
      <c r="C48" s="50"/>
      <c r="D48" s="15" t="s">
        <v>147</v>
      </c>
      <c r="E48" s="15" t="s">
        <v>144</v>
      </c>
      <c r="F48" s="15"/>
      <c r="G48" s="2">
        <v>52.8</v>
      </c>
      <c r="H48" s="21"/>
      <c r="I48" s="21"/>
      <c r="J48" s="2">
        <f>G48</f>
        <v>52.8</v>
      </c>
    </row>
    <row r="49" spans="1:26" x14ac:dyDescent="0.35">
      <c r="A49" s="13"/>
      <c r="B49" s="13"/>
      <c r="C49" s="50"/>
      <c r="D49" s="15" t="s">
        <v>147</v>
      </c>
      <c r="E49" s="15" t="s">
        <v>151</v>
      </c>
      <c r="F49" s="15"/>
      <c r="G49" s="2">
        <v>55.2</v>
      </c>
      <c r="H49" s="21"/>
      <c r="I49" s="21"/>
      <c r="J49" s="2">
        <f>G49</f>
        <v>55.2</v>
      </c>
    </row>
    <row r="50" spans="1:26" x14ac:dyDescent="0.35">
      <c r="A50" s="13"/>
      <c r="B50" s="13"/>
      <c r="C50" s="50"/>
      <c r="D50" s="15" t="s">
        <v>158</v>
      </c>
      <c r="E50" s="15" t="s">
        <v>175</v>
      </c>
      <c r="F50" s="15"/>
      <c r="G50" s="2">
        <v>100</v>
      </c>
      <c r="H50" s="21"/>
      <c r="I50" s="21"/>
      <c r="R50" s="2">
        <f>G50</f>
        <v>100</v>
      </c>
    </row>
    <row r="51" spans="1:26" x14ac:dyDescent="0.35">
      <c r="A51" s="13"/>
      <c r="B51" s="13"/>
      <c r="C51" s="50"/>
      <c r="D51" s="15" t="s">
        <v>24</v>
      </c>
      <c r="E51" s="15" t="s">
        <v>145</v>
      </c>
      <c r="F51" s="15"/>
      <c r="G51" s="2">
        <v>211.8</v>
      </c>
      <c r="H51" s="21"/>
      <c r="I51" s="21"/>
      <c r="J51" s="2">
        <f>G51</f>
        <v>211.8</v>
      </c>
    </row>
    <row r="52" spans="1:26" x14ac:dyDescent="0.35">
      <c r="A52" s="13"/>
      <c r="B52" s="13"/>
      <c r="C52" s="50"/>
      <c r="D52" s="15" t="s">
        <v>24</v>
      </c>
      <c r="E52" s="15" t="s">
        <v>152</v>
      </c>
      <c r="F52" s="15"/>
      <c r="G52" s="2">
        <v>220.74</v>
      </c>
      <c r="H52" s="21"/>
      <c r="I52" s="21"/>
      <c r="J52" s="2">
        <f>G52</f>
        <v>220.74</v>
      </c>
    </row>
    <row r="53" spans="1:26" x14ac:dyDescent="0.35">
      <c r="A53" s="13"/>
      <c r="B53" s="13"/>
      <c r="C53" s="50"/>
      <c r="D53" s="15" t="s">
        <v>95</v>
      </c>
      <c r="E53" s="15" t="s">
        <v>21</v>
      </c>
      <c r="F53" s="15"/>
      <c r="G53" s="2">
        <v>267.7</v>
      </c>
      <c r="H53" s="21">
        <v>223.08</v>
      </c>
      <c r="I53" s="21">
        <f>G53-H53</f>
        <v>44.619999999999976</v>
      </c>
      <c r="T53" s="2">
        <f>H53</f>
        <v>223.08</v>
      </c>
    </row>
    <row r="54" spans="1:26" x14ac:dyDescent="0.35">
      <c r="A54" s="13"/>
      <c r="B54" s="13"/>
      <c r="C54" s="50"/>
      <c r="D54" s="15" t="s">
        <v>159</v>
      </c>
      <c r="E54" s="15" t="s">
        <v>160</v>
      </c>
      <c r="G54" s="2">
        <v>35</v>
      </c>
      <c r="N54" s="2">
        <f>G54</f>
        <v>35</v>
      </c>
    </row>
    <row r="55" spans="1:26" x14ac:dyDescent="0.35">
      <c r="A55" s="13"/>
      <c r="B55" s="13"/>
      <c r="C55" s="50"/>
      <c r="D55" s="15" t="s">
        <v>83</v>
      </c>
      <c r="G55" s="2">
        <v>16.29</v>
      </c>
      <c r="H55" s="5">
        <v>13.58</v>
      </c>
      <c r="I55" s="5">
        <f>G55-H55</f>
        <v>2.7099999999999991</v>
      </c>
      <c r="S55" s="2">
        <f>H55</f>
        <v>13.58</v>
      </c>
    </row>
    <row r="56" spans="1:26" x14ac:dyDescent="0.35">
      <c r="A56" s="13">
        <v>45645</v>
      </c>
      <c r="B56" s="13"/>
      <c r="C56" s="50"/>
      <c r="D56" s="15" t="s">
        <v>24</v>
      </c>
      <c r="E56" s="15" t="s">
        <v>161</v>
      </c>
      <c r="F56" s="15"/>
      <c r="G56" s="2">
        <v>26</v>
      </c>
      <c r="H56" s="21"/>
      <c r="I56" s="21"/>
      <c r="K56" s="2">
        <f>G56</f>
        <v>26</v>
      </c>
    </row>
    <row r="57" spans="1:26" x14ac:dyDescent="0.35">
      <c r="A57" s="13"/>
      <c r="B57" s="13"/>
      <c r="C57" s="50"/>
      <c r="D57" s="15" t="s">
        <v>0</v>
      </c>
      <c r="E57" s="15" t="s">
        <v>162</v>
      </c>
      <c r="F57" s="15"/>
      <c r="G57" s="2">
        <v>53</v>
      </c>
      <c r="H57" s="21"/>
      <c r="I57" s="21"/>
      <c r="J57" s="2">
        <f>G57</f>
        <v>53</v>
      </c>
    </row>
    <row r="58" spans="1:26" x14ac:dyDescent="0.35">
      <c r="A58" s="13"/>
      <c r="B58" s="13"/>
      <c r="C58" s="50"/>
      <c r="D58" s="15" t="s">
        <v>163</v>
      </c>
      <c r="E58" s="15" t="s">
        <v>164</v>
      </c>
      <c r="F58" s="15"/>
      <c r="G58" s="2">
        <v>75</v>
      </c>
      <c r="H58" s="21"/>
      <c r="I58" s="21"/>
      <c r="S58" s="2">
        <f>G58</f>
        <v>75</v>
      </c>
    </row>
    <row r="59" spans="1:26" x14ac:dyDescent="0.35">
      <c r="A59" s="13"/>
      <c r="B59" s="13"/>
      <c r="C59" s="6"/>
      <c r="D59" s="15" t="s">
        <v>24</v>
      </c>
      <c r="E59" s="15" t="s">
        <v>165</v>
      </c>
      <c r="F59" s="15"/>
      <c r="G59" s="2">
        <v>152.94</v>
      </c>
      <c r="H59" s="5">
        <v>127.44</v>
      </c>
      <c r="I59" s="5">
        <f>G59-H59</f>
        <v>25.5</v>
      </c>
      <c r="Z59" s="2">
        <f>H59</f>
        <v>127.44</v>
      </c>
    </row>
    <row r="60" spans="1:26" x14ac:dyDescent="0.35">
      <c r="A60" s="13"/>
      <c r="B60" s="13"/>
      <c r="C60" s="50"/>
      <c r="D60" s="15" t="s">
        <v>166</v>
      </c>
      <c r="E60" s="15" t="s">
        <v>5</v>
      </c>
      <c r="G60" s="2">
        <v>407.66</v>
      </c>
      <c r="H60" s="5">
        <v>339.72</v>
      </c>
      <c r="I60" s="5">
        <f>G60-H60</f>
        <v>67.94</v>
      </c>
      <c r="Q60" s="2">
        <f>H60</f>
        <v>339.72</v>
      </c>
    </row>
    <row r="61" spans="1:26" s="9" customFormat="1" x14ac:dyDescent="0.35">
      <c r="A61" s="13"/>
      <c r="B61" s="13"/>
      <c r="C61" s="50"/>
      <c r="D61" s="15" t="s">
        <v>167</v>
      </c>
      <c r="E61" s="15" t="s">
        <v>168</v>
      </c>
      <c r="F61" s="15"/>
      <c r="G61" s="2">
        <v>450</v>
      </c>
      <c r="H61" s="21"/>
      <c r="I61" s="2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>
        <f>G61</f>
        <v>450</v>
      </c>
      <c r="X61" s="2"/>
      <c r="Y61" s="2"/>
      <c r="Z61" s="2"/>
    </row>
    <row r="62" spans="1:26" x14ac:dyDescent="0.35">
      <c r="A62" s="13"/>
      <c r="B62" s="13"/>
      <c r="C62" s="50"/>
      <c r="D62" s="15" t="s">
        <v>24</v>
      </c>
      <c r="E62" s="15" t="s">
        <v>169</v>
      </c>
      <c r="F62" s="15"/>
      <c r="G62" s="2">
        <v>211.6</v>
      </c>
      <c r="H62" s="21"/>
      <c r="I62" s="21"/>
      <c r="J62" s="2">
        <f>G62</f>
        <v>211.6</v>
      </c>
    </row>
    <row r="63" spans="1:26" x14ac:dyDescent="0.35">
      <c r="A63" s="13">
        <v>45665</v>
      </c>
      <c r="B63" s="13"/>
      <c r="C63" s="6"/>
      <c r="D63" s="15" t="s">
        <v>24</v>
      </c>
      <c r="E63" s="15" t="s">
        <v>170</v>
      </c>
      <c r="F63" s="15"/>
      <c r="G63" s="2">
        <v>26</v>
      </c>
      <c r="H63" s="21"/>
      <c r="I63" s="21"/>
      <c r="K63" s="2">
        <f>G63</f>
        <v>26</v>
      </c>
    </row>
    <row r="64" spans="1:26" x14ac:dyDescent="0.35">
      <c r="C64" s="50"/>
      <c r="D64" s="15" t="s">
        <v>0</v>
      </c>
      <c r="E64" s="15" t="s">
        <v>171</v>
      </c>
      <c r="G64" s="2">
        <v>55.2</v>
      </c>
      <c r="J64" s="2">
        <f>G64</f>
        <v>55.2</v>
      </c>
    </row>
    <row r="65" spans="1:27" x14ac:dyDescent="0.35">
      <c r="A65" s="13"/>
      <c r="B65" s="13"/>
      <c r="C65" s="50"/>
      <c r="D65" s="15" t="s">
        <v>24</v>
      </c>
      <c r="E65" s="15" t="s">
        <v>172</v>
      </c>
      <c r="F65" s="15"/>
      <c r="G65" s="2">
        <v>220.74</v>
      </c>
      <c r="H65" s="21"/>
      <c r="I65" s="21"/>
      <c r="J65" s="2">
        <f>G65</f>
        <v>220.74</v>
      </c>
    </row>
    <row r="66" spans="1:27" x14ac:dyDescent="0.35">
      <c r="A66" s="13">
        <v>45666</v>
      </c>
      <c r="B66" s="13"/>
      <c r="C66" s="50"/>
      <c r="D66" s="15" t="s">
        <v>83</v>
      </c>
      <c r="E66" s="15" t="s">
        <v>91</v>
      </c>
      <c r="F66" s="15"/>
      <c r="G66" s="2">
        <v>16.079999999999998</v>
      </c>
      <c r="H66" s="5">
        <v>13.4</v>
      </c>
      <c r="I66" s="5">
        <f>G66-H66</f>
        <v>2.6799999999999979</v>
      </c>
      <c r="S66" s="2">
        <f>H66</f>
        <v>13.4</v>
      </c>
    </row>
    <row r="67" spans="1:27" x14ac:dyDescent="0.35">
      <c r="D67" s="15" t="s">
        <v>83</v>
      </c>
      <c r="E67" s="15" t="s">
        <v>91</v>
      </c>
      <c r="G67" s="2">
        <v>0.13</v>
      </c>
      <c r="H67" s="2">
        <v>0.11</v>
      </c>
      <c r="I67" s="2">
        <f>G67-H67</f>
        <v>2.0000000000000004E-2</v>
      </c>
      <c r="S67" s="2">
        <f>H67</f>
        <v>0.11</v>
      </c>
    </row>
    <row r="68" spans="1:27" x14ac:dyDescent="0.35">
      <c r="A68" s="13">
        <v>45741</v>
      </c>
      <c r="B68" s="13"/>
      <c r="C68" s="50"/>
      <c r="D68" s="15" t="s">
        <v>24</v>
      </c>
      <c r="E68" s="15" t="s">
        <v>178</v>
      </c>
      <c r="F68" s="15"/>
      <c r="G68" s="2">
        <v>26</v>
      </c>
      <c r="H68" s="21"/>
      <c r="I68" s="21"/>
      <c r="K68" s="2">
        <f>G68</f>
        <v>26</v>
      </c>
    </row>
    <row r="69" spans="1:27" x14ac:dyDescent="0.35">
      <c r="A69" s="13"/>
      <c r="B69" s="13"/>
      <c r="C69" s="50"/>
      <c r="D69" s="15" t="s">
        <v>24</v>
      </c>
      <c r="E69" s="15" t="s">
        <v>179</v>
      </c>
      <c r="F69" s="15"/>
      <c r="G69" s="2">
        <v>26</v>
      </c>
      <c r="H69" s="21"/>
      <c r="I69" s="21"/>
      <c r="K69" s="2">
        <f>G69</f>
        <v>26</v>
      </c>
    </row>
    <row r="70" spans="1:27" x14ac:dyDescent="0.35">
      <c r="A70" s="13"/>
      <c r="B70" s="13"/>
      <c r="C70" s="50"/>
      <c r="D70" s="15" t="s">
        <v>180</v>
      </c>
      <c r="E70" s="15" t="s">
        <v>181</v>
      </c>
      <c r="F70" s="15"/>
      <c r="G70" s="2">
        <v>55</v>
      </c>
      <c r="H70" s="21"/>
      <c r="I70" s="21"/>
      <c r="M70" s="2">
        <f>G70</f>
        <v>55</v>
      </c>
    </row>
    <row r="71" spans="1:27" x14ac:dyDescent="0.35">
      <c r="A71" s="13"/>
      <c r="B71" s="13"/>
      <c r="C71" s="50"/>
      <c r="D71" s="15" t="s">
        <v>0</v>
      </c>
      <c r="E71" s="15" t="s">
        <v>182</v>
      </c>
      <c r="F71" s="15"/>
      <c r="G71" s="2">
        <v>55</v>
      </c>
      <c r="H71" s="21"/>
      <c r="I71" s="21"/>
      <c r="J71" s="2">
        <f>G71</f>
        <v>55</v>
      </c>
    </row>
    <row r="72" spans="1:27" x14ac:dyDescent="0.35">
      <c r="A72" s="13"/>
      <c r="B72" s="13"/>
      <c r="C72" s="50"/>
      <c r="D72" s="15" t="s">
        <v>0</v>
      </c>
      <c r="E72" s="15" t="s">
        <v>183</v>
      </c>
      <c r="F72" s="15"/>
      <c r="G72" s="2">
        <v>55.2</v>
      </c>
      <c r="H72" s="21"/>
      <c r="I72" s="21"/>
      <c r="J72" s="2">
        <f>G72</f>
        <v>55.2</v>
      </c>
    </row>
    <row r="73" spans="1:27" x14ac:dyDescent="0.35">
      <c r="A73" s="13"/>
      <c r="B73" s="13"/>
      <c r="C73" s="50"/>
      <c r="D73" s="15" t="s">
        <v>184</v>
      </c>
      <c r="E73" s="15" t="s">
        <v>160</v>
      </c>
      <c r="F73" s="15"/>
      <c r="G73" s="2">
        <v>216</v>
      </c>
      <c r="H73" s="21">
        <v>180</v>
      </c>
      <c r="I73" s="21">
        <f>G73-H73</f>
        <v>36</v>
      </c>
      <c r="M73" s="2">
        <f>H73</f>
        <v>180</v>
      </c>
    </row>
    <row r="74" spans="1:27" x14ac:dyDescent="0.35">
      <c r="A74" s="13"/>
      <c r="B74" s="13"/>
      <c r="C74" s="50"/>
      <c r="D74" s="15" t="s">
        <v>24</v>
      </c>
      <c r="E74" s="15" t="s">
        <v>185</v>
      </c>
      <c r="F74" s="15"/>
      <c r="G74" s="2">
        <v>220.74</v>
      </c>
      <c r="H74" s="21"/>
      <c r="I74" s="21"/>
      <c r="J74" s="2">
        <f>G74</f>
        <v>220.74</v>
      </c>
    </row>
    <row r="75" spans="1:27" x14ac:dyDescent="0.35">
      <c r="A75" s="13"/>
      <c r="B75" s="13"/>
      <c r="C75" s="50"/>
      <c r="D75" s="15" t="s">
        <v>24</v>
      </c>
      <c r="E75" s="15" t="s">
        <v>186</v>
      </c>
      <c r="F75" s="15"/>
      <c r="G75" s="2">
        <v>220.94</v>
      </c>
      <c r="J75" s="2">
        <f>G75</f>
        <v>220.94</v>
      </c>
    </row>
    <row r="76" spans="1:27" x14ac:dyDescent="0.35">
      <c r="A76" s="13"/>
      <c r="B76" s="13"/>
      <c r="C76" s="50"/>
      <c r="D76" s="15" t="s">
        <v>69</v>
      </c>
      <c r="E76" s="15" t="s">
        <v>5</v>
      </c>
      <c r="F76" s="15"/>
      <c r="G76" s="2">
        <v>290</v>
      </c>
      <c r="H76" s="5">
        <v>241.67</v>
      </c>
      <c r="I76" s="5">
        <f>G76-H76</f>
        <v>48.330000000000013</v>
      </c>
      <c r="S76" s="2">
        <f>H76</f>
        <v>241.67</v>
      </c>
    </row>
    <row r="77" spans="1:27" x14ac:dyDescent="0.35">
      <c r="A77" s="13"/>
      <c r="B77" s="13"/>
      <c r="C77" s="50"/>
      <c r="D77" s="15" t="s">
        <v>139</v>
      </c>
      <c r="E77" s="15" t="s">
        <v>187</v>
      </c>
      <c r="F77" s="15"/>
      <c r="G77" s="2">
        <v>1600</v>
      </c>
      <c r="R77" s="2">
        <f>G77</f>
        <v>1600</v>
      </c>
    </row>
    <row r="78" spans="1:27" x14ac:dyDescent="0.35">
      <c r="A78" s="13"/>
      <c r="B78" s="13"/>
      <c r="C78" s="50"/>
      <c r="D78" s="15"/>
      <c r="E78" s="15"/>
      <c r="F78" s="15"/>
    </row>
    <row r="79" spans="1:27" x14ac:dyDescent="0.35">
      <c r="A79" s="27"/>
      <c r="B79" s="27"/>
      <c r="C79" s="50"/>
      <c r="D79" s="25"/>
      <c r="E79" s="25"/>
      <c r="F79" s="25"/>
      <c r="G79" s="24"/>
      <c r="H79" s="26"/>
      <c r="I79" s="26"/>
    </row>
    <row r="80" spans="1:27" x14ac:dyDescent="0.35">
      <c r="A80" s="13"/>
      <c r="B80" s="13"/>
      <c r="C80" s="50"/>
      <c r="G80" s="2">
        <f t="shared" ref="G80:Z80" si="0">SUM(G2:G79)</f>
        <v>14558.720000000005</v>
      </c>
      <c r="H80" s="2">
        <f t="shared" si="0"/>
        <v>4452.2500000000009</v>
      </c>
      <c r="I80" s="2">
        <f t="shared" si="0"/>
        <v>890.48</v>
      </c>
      <c r="J80" s="2">
        <f t="shared" si="0"/>
        <v>3485.3599999999992</v>
      </c>
      <c r="K80" s="2">
        <f t="shared" si="0"/>
        <v>338</v>
      </c>
      <c r="L80" s="2">
        <f t="shared" si="0"/>
        <v>545.83000000000004</v>
      </c>
      <c r="M80" s="2">
        <f t="shared" si="0"/>
        <v>235</v>
      </c>
      <c r="N80" s="2">
        <f t="shared" si="0"/>
        <v>35</v>
      </c>
      <c r="O80" s="2">
        <f t="shared" si="0"/>
        <v>0</v>
      </c>
      <c r="P80" s="2">
        <f t="shared" si="0"/>
        <v>0</v>
      </c>
      <c r="Q80" s="2">
        <f t="shared" si="0"/>
        <v>2326.6800000000003</v>
      </c>
      <c r="R80" s="2">
        <f t="shared" si="0"/>
        <v>3900</v>
      </c>
      <c r="S80" s="2">
        <f t="shared" si="0"/>
        <v>511.64</v>
      </c>
      <c r="T80" s="2">
        <f t="shared" si="0"/>
        <v>446.16</v>
      </c>
      <c r="U80" s="2">
        <f t="shared" si="0"/>
        <v>0</v>
      </c>
      <c r="V80" s="2">
        <f t="shared" si="0"/>
        <v>156</v>
      </c>
      <c r="W80" s="2">
        <f t="shared" si="0"/>
        <v>495.96</v>
      </c>
      <c r="X80" s="2">
        <f t="shared" si="0"/>
        <v>0</v>
      </c>
      <c r="Y80" s="2">
        <f t="shared" si="0"/>
        <v>0</v>
      </c>
      <c r="Z80" s="2">
        <f t="shared" si="0"/>
        <v>1192.6100000000001</v>
      </c>
      <c r="AA80" s="2">
        <f>SUM(I80:Z80)</f>
        <v>14558.719999999998</v>
      </c>
    </row>
    <row r="81" spans="1:27" x14ac:dyDescent="0.35">
      <c r="A81" s="13" t="s">
        <v>49</v>
      </c>
      <c r="B81" s="13"/>
      <c r="C81" s="50"/>
      <c r="G81" s="8">
        <f>J80</f>
        <v>3485.3599999999992</v>
      </c>
      <c r="H81" s="2"/>
      <c r="I81" s="2"/>
    </row>
    <row r="82" spans="1:27" s="7" customFormat="1" x14ac:dyDescent="0.35">
      <c r="A82" s="13"/>
      <c r="B82" s="13"/>
      <c r="C82" s="50"/>
      <c r="D82"/>
      <c r="E82"/>
      <c r="F82"/>
      <c r="G82" s="2">
        <f>G80-G81</f>
        <v>11073.360000000006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7" x14ac:dyDescent="0.35">
      <c r="A83" s="13"/>
      <c r="B83" s="13"/>
      <c r="C83" s="50"/>
      <c r="AA83" s="2"/>
    </row>
    <row r="84" spans="1:27" x14ac:dyDescent="0.35">
      <c r="A84" s="13"/>
      <c r="B84" s="13"/>
      <c r="C84" s="50"/>
      <c r="AA84" s="2"/>
    </row>
    <row r="85" spans="1:27" x14ac:dyDescent="0.35">
      <c r="C85" s="50"/>
      <c r="AA85" s="2"/>
    </row>
    <row r="86" spans="1:27" x14ac:dyDescent="0.35">
      <c r="A86" s="13"/>
      <c r="B86" s="13"/>
      <c r="C86" s="50"/>
    </row>
    <row r="87" spans="1:27" x14ac:dyDescent="0.35">
      <c r="A87" s="7"/>
      <c r="B87" s="7"/>
      <c r="C87" s="50"/>
      <c r="D87" s="7"/>
      <c r="E87" s="7"/>
      <c r="F87" s="7"/>
      <c r="G87" s="7"/>
      <c r="H87" s="7"/>
      <c r="I87" s="7"/>
      <c r="J87" s="7"/>
      <c r="K87" s="7"/>
      <c r="L87" s="7"/>
      <c r="M87" s="7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7" x14ac:dyDescent="0.35">
      <c r="A88" s="7"/>
      <c r="B88" s="7"/>
      <c r="C88" s="50"/>
      <c r="D88" s="7"/>
      <c r="E88" s="7"/>
      <c r="F88" s="7"/>
      <c r="G88" s="7"/>
      <c r="H88" s="7"/>
      <c r="I88" s="7"/>
      <c r="J88" s="7"/>
      <c r="K88" s="7"/>
      <c r="L88" s="7"/>
      <c r="M88" s="7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7" x14ac:dyDescent="0.35">
      <c r="C89" s="50"/>
    </row>
    <row r="90" spans="1:27" s="7" customFormat="1" x14ac:dyDescent="0.35">
      <c r="A90"/>
      <c r="B90"/>
      <c r="C90" s="50"/>
      <c r="D90"/>
      <c r="E90"/>
      <c r="F90"/>
      <c r="G90" s="2"/>
      <c r="H90" s="5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7" s="7" customFormat="1" x14ac:dyDescent="0.35">
      <c r="A91"/>
      <c r="B91"/>
      <c r="C91" s="50"/>
      <c r="D91"/>
      <c r="E91"/>
      <c r="F91"/>
      <c r="G91" s="2"/>
      <c r="H91" s="5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7" x14ac:dyDescent="0.35">
      <c r="A92" s="13"/>
      <c r="B92" s="13"/>
      <c r="C92" s="50"/>
    </row>
    <row r="93" spans="1:27" x14ac:dyDescent="0.35">
      <c r="A93" s="13"/>
      <c r="B93" s="13"/>
      <c r="C93" s="50"/>
    </row>
    <row r="94" spans="1:27" x14ac:dyDescent="0.35">
      <c r="A94" s="13"/>
      <c r="B94" s="13"/>
      <c r="C94" s="50"/>
    </row>
    <row r="95" spans="1:27" x14ac:dyDescent="0.35">
      <c r="A95" s="13"/>
      <c r="B95" s="13"/>
      <c r="C95" s="50"/>
    </row>
    <row r="96" spans="1:27" x14ac:dyDescent="0.35">
      <c r="A96" s="13"/>
      <c r="B96" s="13"/>
      <c r="C96" s="13"/>
    </row>
    <row r="97" spans="1:3" x14ac:dyDescent="0.35">
      <c r="A97" s="13"/>
      <c r="B97" s="13"/>
      <c r="C97" s="13"/>
    </row>
    <row r="98" spans="1:3" x14ac:dyDescent="0.35">
      <c r="A98" s="13"/>
      <c r="B98" s="13"/>
      <c r="C98" s="13"/>
    </row>
    <row r="99" spans="1:3" x14ac:dyDescent="0.35">
      <c r="A99" s="13"/>
      <c r="B99" s="13"/>
      <c r="C99" s="13"/>
    </row>
    <row r="100" spans="1:3" x14ac:dyDescent="0.35">
      <c r="A100" s="13"/>
      <c r="B100" s="13"/>
      <c r="C100" s="13"/>
    </row>
    <row r="101" spans="1:3" x14ac:dyDescent="0.35">
      <c r="A101" s="13"/>
      <c r="B101" s="13"/>
      <c r="C101" s="13"/>
    </row>
    <row r="102" spans="1:3" x14ac:dyDescent="0.35">
      <c r="A102" s="13"/>
      <c r="B102" s="13"/>
      <c r="C102" s="13"/>
    </row>
    <row r="103" spans="1:3" x14ac:dyDescent="0.35">
      <c r="A103" s="13"/>
      <c r="B103" s="13"/>
      <c r="C103" s="13"/>
    </row>
  </sheetData>
  <pageMargins left="0.25" right="0.25" top="0.75" bottom="0.75" header="0.3" footer="0.3"/>
  <pageSetup paperSize="9" scale="61" fitToHeight="0" orientation="landscape" r:id="rId1"/>
  <headerFooter>
    <oddHeader>&amp;C&amp;"-,Bold"&amp;14Barford St John and St Michael
Payments for the Year Ended 31st March 2025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E298C-B133-4A73-A13D-C875EF3EAAC6}">
  <sheetPr>
    <pageSetUpPr fitToPage="1"/>
  </sheetPr>
  <dimension ref="A2:L54"/>
  <sheetViews>
    <sheetView zoomScaleNormal="100" workbookViewId="0">
      <selection activeCell="H14" sqref="H14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10.36328125" bestFit="1" customWidth="1"/>
    <col min="7" max="7" width="1.54296875" customWidth="1"/>
    <col min="8" max="8" width="9.1796875" customWidth="1"/>
    <col min="9" max="9" width="7.26953125" hidden="1" customWidth="1"/>
    <col min="10" max="10" width="7.7265625" hidden="1" customWidth="1"/>
    <col min="11" max="11" width="2.7265625" customWidth="1"/>
    <col min="12" max="12" width="8.7265625" style="28"/>
  </cols>
  <sheetData>
    <row r="2" spans="1:12" x14ac:dyDescent="0.35">
      <c r="B2" s="54" t="s">
        <v>82</v>
      </c>
      <c r="C2" s="41"/>
      <c r="D2" s="28" t="s">
        <v>99</v>
      </c>
      <c r="E2" s="28"/>
      <c r="F2" s="28" t="s">
        <v>103</v>
      </c>
      <c r="G2" s="28"/>
      <c r="H2" s="56" t="s">
        <v>153</v>
      </c>
      <c r="I2" s="11" t="s">
        <v>29</v>
      </c>
      <c r="J2" s="11" t="s">
        <v>51</v>
      </c>
    </row>
    <row r="3" spans="1:12" x14ac:dyDescent="0.35">
      <c r="B3" s="54" t="s">
        <v>74</v>
      </c>
      <c r="C3" s="41"/>
      <c r="D3" s="28" t="s">
        <v>76</v>
      </c>
      <c r="E3" s="28"/>
      <c r="F3" s="28" t="s">
        <v>104</v>
      </c>
      <c r="G3" s="28"/>
      <c r="H3" s="56" t="s">
        <v>154</v>
      </c>
      <c r="I3" s="11"/>
      <c r="J3" s="11"/>
      <c r="L3" s="56" t="s">
        <v>155</v>
      </c>
    </row>
    <row r="4" spans="1:12" x14ac:dyDescent="0.35">
      <c r="A4" s="9" t="s">
        <v>26</v>
      </c>
      <c r="B4" s="55"/>
      <c r="C4" s="9"/>
      <c r="H4" s="57"/>
      <c r="L4" s="56"/>
    </row>
    <row r="5" spans="1:12" x14ac:dyDescent="0.35">
      <c r="A5" t="s">
        <v>13</v>
      </c>
      <c r="B5" s="63">
        <v>10300</v>
      </c>
      <c r="C5" s="10"/>
      <c r="D5" s="10">
        <f>Income!E29</f>
        <v>10800</v>
      </c>
      <c r="E5" s="10"/>
      <c r="F5" s="10">
        <f>D5</f>
        <v>10800</v>
      </c>
      <c r="G5" s="2"/>
      <c r="H5" s="58">
        <f>F5+(F5*0.05)</f>
        <v>11340</v>
      </c>
      <c r="I5" s="10">
        <f t="shared" ref="I5:I14" si="0">D5-B5</f>
        <v>500</v>
      </c>
      <c r="J5" s="12">
        <f>I5/B5</f>
        <v>4.8543689320388349E-2</v>
      </c>
      <c r="L5" s="71">
        <v>0.05</v>
      </c>
    </row>
    <row r="6" spans="1:12" x14ac:dyDescent="0.35">
      <c r="A6" t="s">
        <v>14</v>
      </c>
      <c r="B6" s="63">
        <v>709</v>
      </c>
      <c r="C6" s="10"/>
      <c r="D6" s="10">
        <f>Income!F29</f>
        <v>709</v>
      </c>
      <c r="E6" s="10"/>
      <c r="F6" s="10">
        <f>D6</f>
        <v>709</v>
      </c>
      <c r="G6" s="2"/>
      <c r="H6" s="58">
        <f>F6</f>
        <v>709</v>
      </c>
      <c r="I6" s="10">
        <f t="shared" si="0"/>
        <v>0</v>
      </c>
      <c r="J6" s="12">
        <f>I6/B6</f>
        <v>0</v>
      </c>
      <c r="L6" s="56"/>
    </row>
    <row r="7" spans="1:12" x14ac:dyDescent="0.35">
      <c r="A7" t="s">
        <v>79</v>
      </c>
      <c r="B7" s="63">
        <v>0</v>
      </c>
      <c r="C7" s="10"/>
      <c r="D7" s="10">
        <f>Income!H29</f>
        <v>0</v>
      </c>
      <c r="E7" s="10"/>
      <c r="F7" s="10">
        <v>0</v>
      </c>
      <c r="G7" s="2"/>
      <c r="H7" s="58">
        <v>0</v>
      </c>
      <c r="I7" s="10">
        <f t="shared" si="0"/>
        <v>0</v>
      </c>
      <c r="J7" s="12">
        <v>0</v>
      </c>
      <c r="L7" s="56"/>
    </row>
    <row r="8" spans="1:12" x14ac:dyDescent="0.35">
      <c r="A8" t="s">
        <v>44</v>
      </c>
      <c r="B8" s="63">
        <v>0</v>
      </c>
      <c r="C8" s="10"/>
      <c r="D8" s="10">
        <f>Income!I29</f>
        <v>16.75</v>
      </c>
      <c r="E8" s="10"/>
      <c r="F8" s="10">
        <f>D8</f>
        <v>16.75</v>
      </c>
      <c r="G8" s="2"/>
      <c r="H8" s="58">
        <f>F8</f>
        <v>16.75</v>
      </c>
      <c r="I8" s="10">
        <f t="shared" si="0"/>
        <v>16.75</v>
      </c>
      <c r="J8" s="12" t="e">
        <f>I8/B8</f>
        <v>#DIV/0!</v>
      </c>
      <c r="L8" s="56"/>
    </row>
    <row r="9" spans="1:12" x14ac:dyDescent="0.35">
      <c r="A9" t="s">
        <v>17</v>
      </c>
      <c r="B9" s="63">
        <v>86.710000000000008</v>
      </c>
      <c r="C9" s="10"/>
      <c r="D9" s="10">
        <f>Income!J29</f>
        <v>116.12</v>
      </c>
      <c r="E9" s="10"/>
      <c r="F9" s="10">
        <v>93.39</v>
      </c>
      <c r="G9" s="2"/>
      <c r="H9" s="58">
        <v>93</v>
      </c>
      <c r="I9" s="10">
        <f t="shared" si="0"/>
        <v>29.409999999999997</v>
      </c>
      <c r="J9" s="12">
        <f>I9/B9</f>
        <v>0.33917656556337211</v>
      </c>
      <c r="L9" s="56"/>
    </row>
    <row r="10" spans="1:12" x14ac:dyDescent="0.35">
      <c r="A10" t="s">
        <v>57</v>
      </c>
      <c r="B10" s="63">
        <v>152.28</v>
      </c>
      <c r="C10" s="10"/>
      <c r="D10" s="10">
        <f>Income!K29</f>
        <v>287.5</v>
      </c>
      <c r="E10" s="10"/>
      <c r="F10" s="10">
        <f>D10</f>
        <v>287.5</v>
      </c>
      <c r="G10" s="2"/>
      <c r="H10" s="58">
        <f>F10</f>
        <v>287.5</v>
      </c>
      <c r="I10" s="10">
        <f t="shared" si="0"/>
        <v>135.22</v>
      </c>
      <c r="J10" s="12">
        <f>I10/B10</f>
        <v>0.88796952981350141</v>
      </c>
      <c r="L10" s="56"/>
    </row>
    <row r="11" spans="1:12" x14ac:dyDescent="0.35">
      <c r="A11" t="s">
        <v>9</v>
      </c>
      <c r="B11" s="63">
        <v>322.58999999999997</v>
      </c>
      <c r="C11" s="10"/>
      <c r="D11" s="10">
        <f>Income!L29</f>
        <v>0</v>
      </c>
      <c r="E11" s="10"/>
      <c r="F11" s="10">
        <v>0</v>
      </c>
      <c r="G11" s="2"/>
      <c r="H11" s="58">
        <v>0</v>
      </c>
      <c r="I11" s="10">
        <f t="shared" si="0"/>
        <v>-322.58999999999997</v>
      </c>
      <c r="J11" s="12">
        <v>1</v>
      </c>
      <c r="L11" s="56"/>
    </row>
    <row r="12" spans="1:12" x14ac:dyDescent="0.35">
      <c r="A12" t="s">
        <v>66</v>
      </c>
      <c r="B12" s="63">
        <v>0</v>
      </c>
      <c r="C12" s="10"/>
      <c r="D12" s="10">
        <f>Income!M29</f>
        <v>48.45</v>
      </c>
      <c r="E12" s="10"/>
      <c r="F12" s="10">
        <v>0</v>
      </c>
      <c r="G12" s="2"/>
      <c r="H12" s="58">
        <v>0</v>
      </c>
      <c r="I12" s="10">
        <f t="shared" si="0"/>
        <v>48.45</v>
      </c>
      <c r="J12" s="12">
        <v>0</v>
      </c>
      <c r="L12" s="56"/>
    </row>
    <row r="13" spans="1:12" x14ac:dyDescent="0.35">
      <c r="A13" t="s">
        <v>59</v>
      </c>
      <c r="B13" s="64">
        <v>2151.0300000000002</v>
      </c>
      <c r="C13" s="10"/>
      <c r="D13" s="65">
        <f>Income!N29</f>
        <v>0</v>
      </c>
      <c r="E13" s="10"/>
      <c r="F13" s="65">
        <v>750</v>
      </c>
      <c r="G13" s="2"/>
      <c r="H13" s="59">
        <v>750</v>
      </c>
      <c r="I13" s="10">
        <f t="shared" si="0"/>
        <v>-2151.0300000000002</v>
      </c>
      <c r="J13" s="22" t="s">
        <v>45</v>
      </c>
      <c r="L13" s="56"/>
    </row>
    <row r="14" spans="1:12" x14ac:dyDescent="0.35">
      <c r="A14" s="9" t="s">
        <v>27</v>
      </c>
      <c r="B14" s="66">
        <f>SUM(B5:B13)</f>
        <v>13721.61</v>
      </c>
      <c r="C14" s="67">
        <f>SUM(C5:C13)</f>
        <v>0</v>
      </c>
      <c r="D14" s="67">
        <f>SUM(D5:D13)</f>
        <v>11977.820000000002</v>
      </c>
      <c r="E14" s="67"/>
      <c r="F14" s="67">
        <f>SUM(F5:F13)</f>
        <v>12656.64</v>
      </c>
      <c r="G14" s="24"/>
      <c r="H14" s="61">
        <f>SUM(H5:H13)</f>
        <v>13196.25</v>
      </c>
      <c r="I14" s="10">
        <f t="shared" si="0"/>
        <v>-1743.7899999999991</v>
      </c>
      <c r="J14" s="12">
        <f>I14/B14</f>
        <v>-0.12708348364368313</v>
      </c>
      <c r="L14" s="56"/>
    </row>
    <row r="15" spans="1:12" x14ac:dyDescent="0.35">
      <c r="B15" s="63"/>
      <c r="C15" s="10"/>
      <c r="D15" s="10"/>
      <c r="E15" s="10"/>
      <c r="F15" s="10"/>
      <c r="G15" s="2"/>
      <c r="H15" s="60"/>
      <c r="L15" s="56"/>
    </row>
    <row r="16" spans="1:12" x14ac:dyDescent="0.35">
      <c r="A16" s="9" t="s">
        <v>28</v>
      </c>
      <c r="B16" s="63"/>
      <c r="C16" s="67"/>
      <c r="D16" s="10"/>
      <c r="E16" s="10"/>
      <c r="F16" s="10"/>
      <c r="G16" s="2"/>
      <c r="H16" s="60"/>
      <c r="L16" s="56"/>
    </row>
    <row r="17" spans="1:12" x14ac:dyDescent="0.35">
      <c r="A17" t="s">
        <v>30</v>
      </c>
      <c r="B17" s="63">
        <v>2766.6</v>
      </c>
      <c r="C17" s="10"/>
      <c r="D17" s="10">
        <f>Expenditure!J80</f>
        <v>3485.3599999999992</v>
      </c>
      <c r="E17" s="10"/>
      <c r="F17" s="10">
        <f>D17+1103.76-264.6</f>
        <v>4324.5199999999986</v>
      </c>
      <c r="G17" s="2"/>
      <c r="H17" s="58">
        <f>F17+(F17*0.05)</f>
        <v>4540.7459999999983</v>
      </c>
      <c r="I17" s="10">
        <f>D17-B17</f>
        <v>718.75999999999931</v>
      </c>
      <c r="J17" s="12">
        <f>I17/B17</f>
        <v>0.25979903130195886</v>
      </c>
      <c r="L17" s="71">
        <v>0.05</v>
      </c>
    </row>
    <row r="18" spans="1:12" x14ac:dyDescent="0.35">
      <c r="A18" t="s">
        <v>84</v>
      </c>
      <c r="B18" s="63">
        <v>286</v>
      </c>
      <c r="C18" s="10"/>
      <c r="D18" s="10">
        <f>Expenditure!K80</f>
        <v>338</v>
      </c>
      <c r="E18" s="10"/>
      <c r="F18" s="10">
        <v>312</v>
      </c>
      <c r="G18" s="2"/>
      <c r="H18" s="58">
        <f>F18</f>
        <v>312</v>
      </c>
      <c r="I18" s="10"/>
      <c r="J18" s="12"/>
      <c r="L18" s="56"/>
    </row>
    <row r="19" spans="1:12" x14ac:dyDescent="0.35">
      <c r="A19" t="s">
        <v>3</v>
      </c>
      <c r="B19" s="63">
        <v>537.28</v>
      </c>
      <c r="C19" s="10"/>
      <c r="D19" s="10">
        <f>Expenditure!L80</f>
        <v>545.83000000000004</v>
      </c>
      <c r="E19" s="10"/>
      <c r="F19" s="10">
        <f>D19</f>
        <v>545.83000000000004</v>
      </c>
      <c r="G19" s="2"/>
      <c r="H19" s="58">
        <f>F19+(F19*0.05)</f>
        <v>573.12150000000008</v>
      </c>
      <c r="I19" s="10">
        <f t="shared" ref="I19:I34" si="1">D19-B19</f>
        <v>8.5500000000000682</v>
      </c>
      <c r="J19" s="12">
        <f>I19/B19</f>
        <v>1.5913490172721985E-2</v>
      </c>
      <c r="L19" s="71">
        <v>0.05</v>
      </c>
    </row>
    <row r="20" spans="1:12" x14ac:dyDescent="0.35">
      <c r="A20" t="s">
        <v>63</v>
      </c>
      <c r="B20" s="63">
        <v>230</v>
      </c>
      <c r="C20" s="10"/>
      <c r="D20" s="10">
        <f>Expenditure!M80</f>
        <v>235</v>
      </c>
      <c r="E20" s="10"/>
      <c r="F20" s="10">
        <f>B20</f>
        <v>230</v>
      </c>
      <c r="G20" s="2"/>
      <c r="H20" s="58">
        <f>F20+(F20*0.05)</f>
        <v>241.5</v>
      </c>
      <c r="I20" s="10">
        <f t="shared" si="1"/>
        <v>5</v>
      </c>
      <c r="J20" s="12">
        <f>I20/B20</f>
        <v>2.1739130434782608E-2</v>
      </c>
      <c r="L20" s="71">
        <v>0.05</v>
      </c>
    </row>
    <row r="21" spans="1:12" x14ac:dyDescent="0.35">
      <c r="A21" t="s">
        <v>64</v>
      </c>
      <c r="B21" s="63">
        <v>60</v>
      </c>
      <c r="C21" s="10"/>
      <c r="D21" s="10">
        <f>Expenditure!N80</f>
        <v>35</v>
      </c>
      <c r="E21" s="10"/>
      <c r="F21" s="10">
        <f>B21</f>
        <v>60</v>
      </c>
      <c r="G21" s="2"/>
      <c r="H21" s="58">
        <f>F21</f>
        <v>60</v>
      </c>
      <c r="I21" s="10">
        <f t="shared" si="1"/>
        <v>-25</v>
      </c>
      <c r="J21" s="12">
        <v>0</v>
      </c>
      <c r="L21" s="56"/>
    </row>
    <row r="22" spans="1:12" x14ac:dyDescent="0.35">
      <c r="A22" t="s">
        <v>5</v>
      </c>
      <c r="B22" s="63">
        <v>2613.9700000000003</v>
      </c>
      <c r="C22" s="10"/>
      <c r="D22" s="10">
        <f>Expenditure!Q80</f>
        <v>2326.6800000000003</v>
      </c>
      <c r="E22" s="10"/>
      <c r="F22" s="10">
        <v>2930.32</v>
      </c>
      <c r="G22" s="2"/>
      <c r="H22" s="58">
        <v>3726.91</v>
      </c>
      <c r="I22" s="10">
        <f t="shared" si="1"/>
        <v>-287.28999999999996</v>
      </c>
      <c r="J22" s="12">
        <f>I22/B22</f>
        <v>-0.10990562248227789</v>
      </c>
      <c r="L22" s="56" t="s">
        <v>156</v>
      </c>
    </row>
    <row r="23" spans="1:12" x14ac:dyDescent="0.35">
      <c r="A23" t="s">
        <v>61</v>
      </c>
      <c r="B23" s="63">
        <v>0</v>
      </c>
      <c r="C23" s="10"/>
      <c r="D23" s="10">
        <f>Expenditure!O80</f>
        <v>0</v>
      </c>
      <c r="E23" s="10"/>
      <c r="F23" s="10">
        <v>0</v>
      </c>
      <c r="G23" s="2"/>
      <c r="H23" s="58">
        <v>0</v>
      </c>
      <c r="I23" s="10">
        <f t="shared" si="1"/>
        <v>0</v>
      </c>
      <c r="J23" s="12"/>
      <c r="L23" s="56"/>
    </row>
    <row r="24" spans="1:12" x14ac:dyDescent="0.35">
      <c r="A24" t="s">
        <v>58</v>
      </c>
      <c r="B24" s="63">
        <v>2300</v>
      </c>
      <c r="C24" s="10"/>
      <c r="D24" s="10">
        <f>Expenditure!R80</f>
        <v>3900</v>
      </c>
      <c r="E24" s="10"/>
      <c r="F24" s="10">
        <f>D24</f>
        <v>3900</v>
      </c>
      <c r="G24" s="2"/>
      <c r="H24" s="58">
        <f>F24</f>
        <v>3900</v>
      </c>
      <c r="I24" s="10">
        <f t="shared" si="1"/>
        <v>1600</v>
      </c>
      <c r="J24" s="12">
        <f>I24/B24</f>
        <v>0.69565217391304346</v>
      </c>
      <c r="L24" s="56"/>
    </row>
    <row r="25" spans="1:12" x14ac:dyDescent="0.35">
      <c r="A25" t="s">
        <v>22</v>
      </c>
      <c r="B25" s="63">
        <v>236.15</v>
      </c>
      <c r="C25" s="10"/>
      <c r="D25" s="10">
        <f>Expenditure!S80</f>
        <v>511.64</v>
      </c>
      <c r="E25" s="10"/>
      <c r="F25" s="10">
        <f>D25+15.64</f>
        <v>527.28</v>
      </c>
      <c r="G25" s="2"/>
      <c r="H25" s="58">
        <f>F25+(F25*0.05)</f>
        <v>553.64400000000001</v>
      </c>
      <c r="I25" s="10">
        <f t="shared" si="1"/>
        <v>275.49</v>
      </c>
      <c r="J25" s="12">
        <f>I25/B25</f>
        <v>1.1665890323946644</v>
      </c>
      <c r="L25" s="71">
        <v>0.05</v>
      </c>
    </row>
    <row r="26" spans="1:12" x14ac:dyDescent="0.35">
      <c r="A26" t="s">
        <v>31</v>
      </c>
      <c r="B26" s="63">
        <v>434.72</v>
      </c>
      <c r="C26" s="10"/>
      <c r="D26" s="10">
        <f>Expenditure!T80</f>
        <v>446.16</v>
      </c>
      <c r="E26" s="10"/>
      <c r="F26" s="10">
        <f>D26</f>
        <v>446.16</v>
      </c>
      <c r="G26" s="2"/>
      <c r="H26" s="58">
        <f>F26+(F26*0.05)</f>
        <v>468.46800000000002</v>
      </c>
      <c r="I26" s="10">
        <f t="shared" si="1"/>
        <v>11.439999999999998</v>
      </c>
      <c r="J26" s="12">
        <f>I26/B26</f>
        <v>2.6315789473684202E-2</v>
      </c>
      <c r="L26" s="71">
        <v>0.05</v>
      </c>
    </row>
    <row r="27" spans="1:12" x14ac:dyDescent="0.35">
      <c r="A27" t="s">
        <v>73</v>
      </c>
      <c r="B27" s="63">
        <v>0</v>
      </c>
      <c r="C27" s="10"/>
      <c r="D27" s="10">
        <f>Expenditure!U80</f>
        <v>0</v>
      </c>
      <c r="E27" s="10"/>
      <c r="F27" s="10">
        <v>0</v>
      </c>
      <c r="G27" s="2"/>
      <c r="H27" s="58">
        <v>0</v>
      </c>
      <c r="I27" s="10">
        <f t="shared" si="1"/>
        <v>0</v>
      </c>
      <c r="J27" s="12">
        <v>0</v>
      </c>
      <c r="L27" s="56"/>
    </row>
    <row r="28" spans="1:12" x14ac:dyDescent="0.35">
      <c r="A28" t="s">
        <v>52</v>
      </c>
      <c r="B28" s="63">
        <v>150</v>
      </c>
      <c r="C28" s="10"/>
      <c r="D28" s="10">
        <f>Expenditure!V80</f>
        <v>156</v>
      </c>
      <c r="E28" s="10"/>
      <c r="F28" s="10">
        <f>D28</f>
        <v>156</v>
      </c>
      <c r="G28" s="2"/>
      <c r="H28" s="58">
        <f>F28+(F28*0.05)</f>
        <v>163.80000000000001</v>
      </c>
      <c r="I28" s="10">
        <f t="shared" si="1"/>
        <v>6</v>
      </c>
      <c r="J28" s="12">
        <f>I28/B28</f>
        <v>0.04</v>
      </c>
      <c r="L28" s="71">
        <v>0.05</v>
      </c>
    </row>
    <row r="29" spans="1:12" x14ac:dyDescent="0.35">
      <c r="A29" t="s">
        <v>32</v>
      </c>
      <c r="B29" s="63">
        <v>0</v>
      </c>
      <c r="C29" s="10"/>
      <c r="D29" s="10">
        <f>Expenditure!W80</f>
        <v>495.96</v>
      </c>
      <c r="E29" s="10"/>
      <c r="F29" s="10">
        <f>D29</f>
        <v>495.96</v>
      </c>
      <c r="G29" s="2"/>
      <c r="H29" s="58">
        <v>50</v>
      </c>
      <c r="I29" s="10">
        <f t="shared" si="1"/>
        <v>495.96</v>
      </c>
      <c r="J29" s="12" t="e">
        <f>I29/B29</f>
        <v>#DIV/0!</v>
      </c>
      <c r="L29" s="56"/>
    </row>
    <row r="30" spans="1:12" x14ac:dyDescent="0.35">
      <c r="A30" t="s">
        <v>8</v>
      </c>
      <c r="B30" s="63">
        <v>861.45999999999981</v>
      </c>
      <c r="C30" s="10"/>
      <c r="D30" s="10">
        <f>Expenditure!I80</f>
        <v>890.48</v>
      </c>
      <c r="E30" s="10"/>
      <c r="F30" s="10">
        <v>750</v>
      </c>
      <c r="G30" s="2"/>
      <c r="H30" s="58">
        <v>750</v>
      </c>
      <c r="I30" s="10">
        <f t="shared" si="1"/>
        <v>29.020000000000209</v>
      </c>
      <c r="J30" s="12">
        <f>I30/B30</f>
        <v>3.3686996494323843E-2</v>
      </c>
      <c r="L30" s="56"/>
    </row>
    <row r="31" spans="1:12" x14ac:dyDescent="0.35">
      <c r="A31" t="s">
        <v>9</v>
      </c>
      <c r="B31" s="63">
        <v>417.78</v>
      </c>
      <c r="C31" s="10"/>
      <c r="D31" s="10">
        <f>Expenditure!X80</f>
        <v>0</v>
      </c>
      <c r="E31" s="10"/>
      <c r="F31" s="10">
        <v>0</v>
      </c>
      <c r="G31" s="2"/>
      <c r="H31" s="58">
        <v>0</v>
      </c>
      <c r="I31" s="10">
        <f t="shared" si="1"/>
        <v>-417.78</v>
      </c>
      <c r="J31" s="12">
        <v>1</v>
      </c>
      <c r="L31" s="56"/>
    </row>
    <row r="32" spans="1:12" x14ac:dyDescent="0.35">
      <c r="A32" t="s">
        <v>10</v>
      </c>
      <c r="B32" s="63">
        <v>0</v>
      </c>
      <c r="C32" s="10"/>
      <c r="D32" s="10">
        <f>Expenditure!Y80</f>
        <v>0</v>
      </c>
      <c r="E32" s="10"/>
      <c r="F32" s="10">
        <v>0</v>
      </c>
      <c r="G32" s="2"/>
      <c r="H32" s="58">
        <v>0</v>
      </c>
      <c r="I32" s="10">
        <f t="shared" si="1"/>
        <v>0</v>
      </c>
      <c r="J32" s="12">
        <v>0</v>
      </c>
      <c r="L32" s="56"/>
    </row>
    <row r="33" spans="1:12" x14ac:dyDescent="0.35">
      <c r="A33" t="s">
        <v>11</v>
      </c>
      <c r="B33" s="64">
        <v>987.67000000000007</v>
      </c>
      <c r="C33" s="10"/>
      <c r="D33" s="65">
        <f>Expenditure!Z80</f>
        <v>1192.6100000000001</v>
      </c>
      <c r="E33" s="65"/>
      <c r="F33" s="65">
        <f>D33</f>
        <v>1192.6100000000001</v>
      </c>
      <c r="H33" s="59">
        <v>900</v>
      </c>
      <c r="I33" s="10">
        <f t="shared" si="1"/>
        <v>204.94000000000005</v>
      </c>
      <c r="J33" s="12">
        <v>0</v>
      </c>
      <c r="L33" s="56"/>
    </row>
    <row r="34" spans="1:12" x14ac:dyDescent="0.35">
      <c r="A34" s="1"/>
      <c r="B34" s="66">
        <f>SUM(B17:B33)</f>
        <v>11881.63</v>
      </c>
      <c r="C34" s="67">
        <f t="shared" ref="C34:H34" si="2">SUM(C17:C33)</f>
        <v>0</v>
      </c>
      <c r="D34" s="49">
        <f t="shared" si="2"/>
        <v>14558.719999999998</v>
      </c>
      <c r="E34" s="67">
        <v>45.8</v>
      </c>
      <c r="F34" s="49">
        <f t="shared" si="2"/>
        <v>15870.679999999998</v>
      </c>
      <c r="G34" s="24"/>
      <c r="H34" s="62">
        <f t="shared" si="2"/>
        <v>16240.189499999999</v>
      </c>
      <c r="I34" s="10">
        <f t="shared" si="1"/>
        <v>2677.0899999999983</v>
      </c>
      <c r="J34" s="12">
        <f>I34/B34</f>
        <v>0.22531336188721568</v>
      </c>
      <c r="L34" s="56"/>
    </row>
    <row r="35" spans="1:12" x14ac:dyDescent="0.35">
      <c r="A35" s="1"/>
      <c r="B35" s="63"/>
      <c r="C35" s="10"/>
      <c r="D35" s="10"/>
      <c r="E35" s="10">
        <v>45.8</v>
      </c>
      <c r="F35" s="10"/>
      <c r="G35" s="2"/>
      <c r="H35" s="58"/>
      <c r="L35" s="56"/>
    </row>
    <row r="36" spans="1:12" x14ac:dyDescent="0.35">
      <c r="A36" s="1" t="s">
        <v>157</v>
      </c>
      <c r="B36" s="63">
        <f>B14-B34</f>
        <v>1839.9800000000014</v>
      </c>
      <c r="C36" s="10"/>
      <c r="D36" s="44">
        <f>D14-D34</f>
        <v>-2580.899999999996</v>
      </c>
      <c r="E36" s="10">
        <v>100</v>
      </c>
      <c r="F36" s="44">
        <f>F14-F34</f>
        <v>-3214.0399999999991</v>
      </c>
      <c r="G36" s="2"/>
      <c r="H36" s="58">
        <f>H14-H34</f>
        <v>-3043.9394999999986</v>
      </c>
      <c r="L36" s="56"/>
    </row>
    <row r="37" spans="1:12" x14ac:dyDescent="0.35">
      <c r="A37" s="1"/>
      <c r="B37" s="63"/>
      <c r="C37" s="10"/>
      <c r="D37" s="10"/>
      <c r="E37" s="10">
        <v>168</v>
      </c>
      <c r="F37" s="10"/>
      <c r="G37" s="2"/>
      <c r="H37" s="58"/>
      <c r="L37" s="56"/>
    </row>
    <row r="38" spans="1:12" x14ac:dyDescent="0.35">
      <c r="A38" s="1"/>
      <c r="B38" s="63"/>
      <c r="C38" s="67"/>
      <c r="D38" s="10"/>
      <c r="E38" s="10">
        <v>182.8</v>
      </c>
      <c r="F38" s="10"/>
      <c r="G38" s="2"/>
      <c r="H38" s="58"/>
      <c r="L38" s="56"/>
    </row>
    <row r="39" spans="1:12" x14ac:dyDescent="0.35">
      <c r="A39" s="1" t="s">
        <v>85</v>
      </c>
      <c r="B39" s="66">
        <v>8262.42</v>
      </c>
      <c r="C39" s="67"/>
      <c r="D39" s="67">
        <f>B43</f>
        <v>10102.4</v>
      </c>
      <c r="E39" s="67">
        <v>182.8</v>
      </c>
      <c r="F39" s="67">
        <f>D39</f>
        <v>10102.4</v>
      </c>
      <c r="G39" s="24"/>
      <c r="H39" s="61">
        <f>F43</f>
        <v>6888.3600000000024</v>
      </c>
    </row>
    <row r="40" spans="1:12" x14ac:dyDescent="0.35">
      <c r="A40" s="1" t="s">
        <v>86</v>
      </c>
      <c r="B40" s="64">
        <f>B14</f>
        <v>13721.61</v>
      </c>
      <c r="C40" s="10"/>
      <c r="D40" s="68">
        <f>D14</f>
        <v>11977.820000000002</v>
      </c>
      <c r="E40" s="10">
        <v>198.64</v>
      </c>
      <c r="F40" s="68">
        <f>F14</f>
        <v>12656.64</v>
      </c>
      <c r="G40" s="2"/>
      <c r="H40" s="59">
        <f>H14</f>
        <v>13196.25</v>
      </c>
    </row>
    <row r="41" spans="1:12" x14ac:dyDescent="0.35">
      <c r="A41" s="1"/>
      <c r="B41" s="63">
        <f>SUM(B39:B40)</f>
        <v>21984.03</v>
      </c>
      <c r="C41" s="10"/>
      <c r="D41" s="69">
        <f>SUM(D39:D40)</f>
        <v>22080.22</v>
      </c>
      <c r="E41" s="10">
        <v>454.89</v>
      </c>
      <c r="F41" s="69">
        <f>SUM(F39:F40)</f>
        <v>22759.040000000001</v>
      </c>
      <c r="G41" s="2"/>
      <c r="H41" s="58">
        <f>SUM(H39:H40)</f>
        <v>20084.61</v>
      </c>
    </row>
    <row r="42" spans="1:12" x14ac:dyDescent="0.35">
      <c r="A42" s="1" t="s">
        <v>87</v>
      </c>
      <c r="B42" s="64">
        <f>B34</f>
        <v>11881.63</v>
      </c>
      <c r="C42" s="10"/>
      <c r="D42" s="68">
        <f>D34</f>
        <v>14558.719999999998</v>
      </c>
      <c r="E42" s="10">
        <v>785.02</v>
      </c>
      <c r="F42" s="68">
        <f>F34</f>
        <v>15870.679999999998</v>
      </c>
      <c r="G42" s="2"/>
      <c r="H42" s="59">
        <f>H34</f>
        <v>16240.189499999999</v>
      </c>
    </row>
    <row r="43" spans="1:12" x14ac:dyDescent="0.35">
      <c r="A43" s="51" t="s">
        <v>88</v>
      </c>
      <c r="B43" s="66">
        <f>B41-B42</f>
        <v>10102.4</v>
      </c>
      <c r="C43" s="67"/>
      <c r="D43" s="70">
        <f>D41-D42</f>
        <v>7521.5000000000036</v>
      </c>
      <c r="E43" s="67">
        <v>25</v>
      </c>
      <c r="F43" s="70">
        <f>F41-F42</f>
        <v>6888.3600000000024</v>
      </c>
      <c r="G43" s="24"/>
      <c r="H43" s="61">
        <f>H41-H42</f>
        <v>3844.420500000002</v>
      </c>
    </row>
    <row r="44" spans="1:12" x14ac:dyDescent="0.35">
      <c r="B44" s="63"/>
      <c r="C44" s="10"/>
      <c r="D44" s="10"/>
      <c r="E44" s="10">
        <v>428.28</v>
      </c>
      <c r="F44" s="10"/>
      <c r="G44" s="2"/>
      <c r="H44" s="60"/>
    </row>
    <row r="45" spans="1:12" x14ac:dyDescent="0.35">
      <c r="A45" s="9" t="s">
        <v>33</v>
      </c>
      <c r="B45" s="63"/>
      <c r="C45" s="67"/>
      <c r="D45" s="10"/>
      <c r="E45" s="10">
        <v>26</v>
      </c>
      <c r="F45" s="10"/>
      <c r="G45" s="2"/>
      <c r="H45" s="60"/>
    </row>
    <row r="46" spans="1:12" x14ac:dyDescent="0.35">
      <c r="A46" t="s">
        <v>34</v>
      </c>
      <c r="B46" s="63">
        <v>1793.12</v>
      </c>
      <c r="C46" s="10"/>
      <c r="D46" s="10" t="e">
        <f>#REF!</f>
        <v>#REF!</v>
      </c>
      <c r="E46" s="10">
        <v>26</v>
      </c>
      <c r="F46" s="10"/>
      <c r="G46" s="2"/>
      <c r="H46" s="2"/>
    </row>
    <row r="47" spans="1:12" x14ac:dyDescent="0.35">
      <c r="A47" t="s">
        <v>35</v>
      </c>
      <c r="B47" s="64">
        <v>8309.2800000000007</v>
      </c>
      <c r="C47" s="10"/>
      <c r="D47" s="65" t="e">
        <f>#REF!</f>
        <v>#REF!</v>
      </c>
      <c r="E47" s="10">
        <v>45.6</v>
      </c>
      <c r="F47" s="10"/>
      <c r="G47" s="2"/>
      <c r="H47" s="2"/>
    </row>
    <row r="48" spans="1:12" x14ac:dyDescent="0.35">
      <c r="A48" s="9" t="s">
        <v>81</v>
      </c>
      <c r="B48" s="66">
        <f>SUM(B46:B47)</f>
        <v>10102.400000000001</v>
      </c>
      <c r="C48" s="10"/>
      <c r="D48" s="67" t="e">
        <f>SUM(D46:D47)</f>
        <v>#REF!</v>
      </c>
      <c r="E48" s="10">
        <v>45.8</v>
      </c>
      <c r="F48" s="10"/>
      <c r="G48" s="2"/>
      <c r="H48" s="2"/>
      <c r="J48" s="1"/>
    </row>
    <row r="49" spans="1:10" x14ac:dyDescent="0.35">
      <c r="A49" t="s">
        <v>93</v>
      </c>
      <c r="B49" s="70"/>
      <c r="C49" s="10"/>
      <c r="D49" s="65" t="e">
        <f>#REF!</f>
        <v>#REF!</v>
      </c>
      <c r="E49" s="10"/>
      <c r="F49" s="10"/>
      <c r="G49" s="2"/>
      <c r="H49" s="2"/>
      <c r="J49" s="1"/>
    </row>
    <row r="50" spans="1:10" x14ac:dyDescent="0.35">
      <c r="A50" s="9"/>
      <c r="B50" s="70"/>
      <c r="C50" s="10"/>
      <c r="D50" s="10" t="e">
        <f>SUM(D48:D49)</f>
        <v>#REF!</v>
      </c>
      <c r="E50" s="10"/>
      <c r="F50" s="10"/>
      <c r="G50" s="2"/>
      <c r="H50" s="2"/>
      <c r="J50" s="1"/>
    </row>
    <row r="51" spans="1:10" x14ac:dyDescent="0.35">
      <c r="A51" t="s">
        <v>39</v>
      </c>
      <c r="B51" s="10"/>
      <c r="C51" s="10"/>
      <c r="D51" s="65" t="e">
        <f>#REF!</f>
        <v>#REF!</v>
      </c>
      <c r="E51" s="10"/>
      <c r="F51" s="10"/>
    </row>
    <row r="52" spans="1:10" x14ac:dyDescent="0.35">
      <c r="A52" s="9" t="s">
        <v>94</v>
      </c>
      <c r="B52" s="10"/>
      <c r="C52" s="10"/>
      <c r="D52" s="67" t="e">
        <f>D50-D51</f>
        <v>#REF!</v>
      </c>
      <c r="E52" s="10"/>
      <c r="F52" s="10"/>
    </row>
    <row r="54" spans="1:10" x14ac:dyDescent="0.35">
      <c r="G54">
        <f>E54-F54</f>
        <v>0</v>
      </c>
    </row>
  </sheetData>
  <pageMargins left="0.7" right="0.7" top="0.75" bottom="0.75" header="0.3" footer="0.3"/>
  <pageSetup paperSize="9" scale="97" orientation="portrait" r:id="rId1"/>
  <headerFooter>
    <oddHeader>&amp;C&amp;"-,Bold"&amp;14Barford St John and St Michael Parish Council
Draft 2025-26 Budget</oddHeader>
  </headerFooter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34C1-F33C-43A5-876D-14669A605895}">
  <sheetPr>
    <pageSetUpPr fitToPage="1"/>
  </sheetPr>
  <dimension ref="A2:L54"/>
  <sheetViews>
    <sheetView zoomScaleNormal="100" workbookViewId="0">
      <selection activeCell="B5" sqref="B5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10.36328125" bestFit="1" customWidth="1"/>
    <col min="7" max="7" width="1.54296875" customWidth="1"/>
    <col min="8" max="8" width="9.1796875" customWidth="1"/>
    <col min="9" max="9" width="7.26953125" hidden="1" customWidth="1"/>
    <col min="10" max="10" width="7.7265625" hidden="1" customWidth="1"/>
    <col min="11" max="11" width="2.7265625" customWidth="1"/>
  </cols>
  <sheetData>
    <row r="2" spans="1:12" x14ac:dyDescent="0.35">
      <c r="B2" s="28" t="s">
        <v>82</v>
      </c>
      <c r="C2" s="41"/>
      <c r="D2" s="28" t="s">
        <v>99</v>
      </c>
      <c r="E2" s="28"/>
      <c r="F2" s="28" t="s">
        <v>99</v>
      </c>
      <c r="G2" s="28"/>
      <c r="H2" s="42" t="s">
        <v>153</v>
      </c>
      <c r="I2" s="11" t="s">
        <v>29</v>
      </c>
      <c r="J2" s="11" t="s">
        <v>51</v>
      </c>
    </row>
    <row r="3" spans="1:12" x14ac:dyDescent="0.35">
      <c r="B3" s="40" t="s">
        <v>74</v>
      </c>
      <c r="C3" s="41"/>
      <c r="D3" s="28" t="s">
        <v>76</v>
      </c>
      <c r="E3" s="28"/>
      <c r="F3" s="28" t="s">
        <v>77</v>
      </c>
      <c r="G3" s="28"/>
      <c r="H3" s="42" t="s">
        <v>75</v>
      </c>
      <c r="I3" s="11"/>
      <c r="J3" s="11"/>
    </row>
    <row r="4" spans="1:12" x14ac:dyDescent="0.35">
      <c r="A4" s="9" t="s">
        <v>26</v>
      </c>
      <c r="B4" s="29"/>
      <c r="C4" s="9"/>
      <c r="H4" s="33"/>
    </row>
    <row r="5" spans="1:12" x14ac:dyDescent="0.35">
      <c r="A5" t="s">
        <v>13</v>
      </c>
      <c r="B5" s="30">
        <v>10300</v>
      </c>
      <c r="D5" s="2">
        <f>Income!E29</f>
        <v>10800</v>
      </c>
      <c r="E5" s="2"/>
      <c r="F5" s="2">
        <f>D5</f>
        <v>10800</v>
      </c>
      <c r="G5" s="2"/>
      <c r="H5" s="44">
        <v>10800</v>
      </c>
      <c r="I5" s="10">
        <f t="shared" ref="I5:I14" si="0">D5-B5</f>
        <v>500</v>
      </c>
      <c r="J5" s="12">
        <f>I5/B5</f>
        <v>4.8543689320388349E-2</v>
      </c>
      <c r="L5" s="53" t="s">
        <v>100</v>
      </c>
    </row>
    <row r="6" spans="1:12" x14ac:dyDescent="0.35">
      <c r="A6" t="s">
        <v>14</v>
      </c>
      <c r="B6" s="30">
        <v>709</v>
      </c>
      <c r="D6" s="2">
        <f>Income!F29</f>
        <v>709</v>
      </c>
      <c r="E6" s="2"/>
      <c r="F6" s="2">
        <f>D6</f>
        <v>709</v>
      </c>
      <c r="G6" s="2"/>
      <c r="H6" s="44">
        <v>709</v>
      </c>
      <c r="I6" s="10">
        <f t="shared" si="0"/>
        <v>0</v>
      </c>
      <c r="J6" s="12">
        <f>I6/B6</f>
        <v>0</v>
      </c>
    </row>
    <row r="7" spans="1:12" x14ac:dyDescent="0.35">
      <c r="A7" t="s">
        <v>79</v>
      </c>
      <c r="B7" s="30">
        <v>0</v>
      </c>
      <c r="D7" s="2">
        <f>Income!H29</f>
        <v>0</v>
      </c>
      <c r="E7" s="2"/>
      <c r="F7" s="2">
        <f>E7</f>
        <v>0</v>
      </c>
      <c r="G7" s="2"/>
      <c r="H7" s="44">
        <v>0</v>
      </c>
      <c r="I7" s="10">
        <f t="shared" si="0"/>
        <v>0</v>
      </c>
      <c r="J7" s="12">
        <v>0</v>
      </c>
    </row>
    <row r="8" spans="1:12" x14ac:dyDescent="0.35">
      <c r="A8" t="s">
        <v>44</v>
      </c>
      <c r="B8" s="30">
        <v>14.94</v>
      </c>
      <c r="D8" s="2">
        <f>Income!I29</f>
        <v>16.75</v>
      </c>
      <c r="E8" s="2"/>
      <c r="F8" s="2">
        <v>14.94</v>
      </c>
      <c r="G8" s="2"/>
      <c r="H8" s="44">
        <v>15</v>
      </c>
      <c r="I8" s="10">
        <f t="shared" si="0"/>
        <v>1.8100000000000005</v>
      </c>
      <c r="J8" s="12">
        <f>I8/B8</f>
        <v>0.12115127175368143</v>
      </c>
    </row>
    <row r="9" spans="1:12" x14ac:dyDescent="0.35">
      <c r="A9" t="s">
        <v>17</v>
      </c>
      <c r="B9" s="30">
        <v>5.5</v>
      </c>
      <c r="D9" s="2">
        <f>Income!J29</f>
        <v>116.12</v>
      </c>
      <c r="E9" s="2"/>
      <c r="F9" s="2">
        <f>D9*2</f>
        <v>232.24</v>
      </c>
      <c r="G9" s="2"/>
      <c r="H9" s="44">
        <v>2</v>
      </c>
      <c r="I9" s="10">
        <f t="shared" si="0"/>
        <v>110.62</v>
      </c>
      <c r="J9" s="12">
        <f>I9/B9</f>
        <v>20.112727272727273</v>
      </c>
    </row>
    <row r="10" spans="1:12" x14ac:dyDescent="0.35">
      <c r="A10" t="s">
        <v>57</v>
      </c>
      <c r="B10" s="30">
        <v>185</v>
      </c>
      <c r="D10" s="2">
        <f>Income!K29</f>
        <v>287.5</v>
      </c>
      <c r="E10" s="2"/>
      <c r="F10" s="2">
        <f>D10*2</f>
        <v>575</v>
      </c>
      <c r="G10" s="2"/>
      <c r="H10" s="44">
        <f>D10</f>
        <v>287.5</v>
      </c>
      <c r="I10" s="10">
        <f t="shared" si="0"/>
        <v>102.5</v>
      </c>
      <c r="J10" s="12">
        <f>I10/B10</f>
        <v>0.55405405405405406</v>
      </c>
    </row>
    <row r="11" spans="1:12" x14ac:dyDescent="0.35">
      <c r="A11" t="s">
        <v>9</v>
      </c>
      <c r="B11" s="30">
        <v>0</v>
      </c>
      <c r="D11" s="2">
        <f>Income!L29</f>
        <v>0</v>
      </c>
      <c r="E11" s="2"/>
      <c r="F11" s="2">
        <v>0</v>
      </c>
      <c r="G11" s="2"/>
      <c r="H11" s="44">
        <v>0</v>
      </c>
      <c r="I11" s="10">
        <f t="shared" si="0"/>
        <v>0</v>
      </c>
      <c r="J11" s="12">
        <v>1</v>
      </c>
    </row>
    <row r="12" spans="1:12" x14ac:dyDescent="0.35">
      <c r="A12" t="s">
        <v>66</v>
      </c>
      <c r="B12" s="30">
        <v>28</v>
      </c>
      <c r="D12" s="2">
        <f>Income!M29</f>
        <v>48.45</v>
      </c>
      <c r="E12" s="2"/>
      <c r="F12" s="2"/>
      <c r="G12" s="2"/>
      <c r="H12" s="44">
        <v>0</v>
      </c>
      <c r="I12" s="10">
        <f t="shared" si="0"/>
        <v>20.450000000000003</v>
      </c>
      <c r="J12" s="12">
        <v>0</v>
      </c>
    </row>
    <row r="13" spans="1:12" x14ac:dyDescent="0.35">
      <c r="A13" t="s">
        <v>59</v>
      </c>
      <c r="B13" s="31">
        <v>0</v>
      </c>
      <c r="D13" s="8">
        <f>Income!N29</f>
        <v>0</v>
      </c>
      <c r="E13" s="2"/>
      <c r="F13" s="8">
        <f>D30</f>
        <v>890.48</v>
      </c>
      <c r="G13" s="2">
        <f>E13-F13</f>
        <v>-890.48</v>
      </c>
      <c r="H13" s="45">
        <v>800</v>
      </c>
      <c r="I13" s="10">
        <f t="shared" si="0"/>
        <v>0</v>
      </c>
      <c r="J13" s="22" t="s">
        <v>45</v>
      </c>
    </row>
    <row r="14" spans="1:12" x14ac:dyDescent="0.35">
      <c r="A14" s="9" t="s">
        <v>27</v>
      </c>
      <c r="B14" s="32">
        <f>SUM(B5:B13)</f>
        <v>11242.44</v>
      </c>
      <c r="C14" s="24">
        <f>SUM(C5:C13)</f>
        <v>0</v>
      </c>
      <c r="D14" s="24">
        <f>SUM(D5:D13)</f>
        <v>11977.820000000002</v>
      </c>
      <c r="E14" s="24"/>
      <c r="F14" s="24">
        <f>SUM(F5:F13)</f>
        <v>13221.66</v>
      </c>
      <c r="G14" s="24"/>
      <c r="H14" s="46">
        <f>SUM(H5:H13)</f>
        <v>12613.5</v>
      </c>
      <c r="I14" s="10">
        <f t="shared" si="0"/>
        <v>735.38000000000102</v>
      </c>
      <c r="J14" s="12">
        <f>I14/B14</f>
        <v>6.5411067348369309E-2</v>
      </c>
    </row>
    <row r="15" spans="1:12" x14ac:dyDescent="0.35">
      <c r="B15" s="30"/>
      <c r="D15" s="2"/>
      <c r="E15" s="2"/>
      <c r="F15" s="2"/>
      <c r="G15" s="2"/>
      <c r="H15" s="34"/>
    </row>
    <row r="16" spans="1:12" x14ac:dyDescent="0.35">
      <c r="A16" s="9" t="s">
        <v>28</v>
      </c>
      <c r="B16" s="30"/>
      <c r="C16" s="9"/>
      <c r="D16" s="2"/>
      <c r="E16" s="2"/>
      <c r="F16" s="2"/>
      <c r="G16" s="2"/>
      <c r="H16" s="34"/>
    </row>
    <row r="17" spans="1:10" x14ac:dyDescent="0.35">
      <c r="A17" t="s">
        <v>30</v>
      </c>
      <c r="B17" s="30">
        <v>3260.5199999999995</v>
      </c>
      <c r="D17" s="2">
        <f>Expenditure!J80</f>
        <v>3485.3599999999992</v>
      </c>
      <c r="E17" s="2"/>
      <c r="F17" s="2">
        <f>(D17+246.6)*2</f>
        <v>7463.9199999999983</v>
      </c>
      <c r="G17" s="2">
        <f>E17-F17</f>
        <v>-7463.9199999999983</v>
      </c>
      <c r="H17" s="44">
        <f>(F17*$H$36)+F17</f>
        <v>7837.1159999999982</v>
      </c>
      <c r="I17" s="10">
        <f>D17-B17</f>
        <v>224.83999999999969</v>
      </c>
      <c r="J17" s="12">
        <f>I17/B17</f>
        <v>6.895832566584463E-2</v>
      </c>
    </row>
    <row r="18" spans="1:10" x14ac:dyDescent="0.35">
      <c r="A18" t="s">
        <v>84</v>
      </c>
      <c r="B18" s="30">
        <v>361</v>
      </c>
      <c r="D18" s="2">
        <f>Expenditure!K80</f>
        <v>338</v>
      </c>
      <c r="E18" s="2"/>
      <c r="F18" s="2">
        <v>312</v>
      </c>
      <c r="G18" s="2">
        <f>E18-F18</f>
        <v>-312</v>
      </c>
      <c r="H18" s="44">
        <f>26*12</f>
        <v>312</v>
      </c>
      <c r="I18" s="10"/>
      <c r="J18" s="12"/>
    </row>
    <row r="19" spans="1:10" x14ac:dyDescent="0.35">
      <c r="A19" t="s">
        <v>3</v>
      </c>
      <c r="B19" s="30">
        <v>554.44000000000005</v>
      </c>
      <c r="D19" s="2">
        <f>Expenditure!L80</f>
        <v>545.83000000000004</v>
      </c>
      <c r="E19" s="2"/>
      <c r="F19" s="2">
        <f>D19</f>
        <v>545.83000000000004</v>
      </c>
      <c r="G19" s="2"/>
      <c r="H19" s="44">
        <f>(F19*$H$36)+F19</f>
        <v>573.12150000000008</v>
      </c>
      <c r="I19" s="10">
        <f t="shared" ref="I19:I34" si="1">D19-B19</f>
        <v>-8.6100000000000136</v>
      </c>
      <c r="J19" s="12">
        <f>I19/B19</f>
        <v>-1.5529182598658129E-2</v>
      </c>
    </row>
    <row r="20" spans="1:10" x14ac:dyDescent="0.35">
      <c r="A20" t="s">
        <v>63</v>
      </c>
      <c r="B20" s="30">
        <v>290</v>
      </c>
      <c r="D20" s="2">
        <f>Expenditure!M80</f>
        <v>235</v>
      </c>
      <c r="E20" s="2"/>
      <c r="F20" s="2">
        <v>290</v>
      </c>
      <c r="G20" s="2"/>
      <c r="H20" s="44">
        <f>(F20*$H$36)+F20</f>
        <v>304.5</v>
      </c>
      <c r="I20" s="10">
        <f t="shared" si="1"/>
        <v>-55</v>
      </c>
      <c r="J20" s="12">
        <f>I20/B20</f>
        <v>-0.18965517241379309</v>
      </c>
    </row>
    <row r="21" spans="1:10" x14ac:dyDescent="0.35">
      <c r="A21" t="s">
        <v>64</v>
      </c>
      <c r="B21" s="30">
        <v>0</v>
      </c>
      <c r="D21" s="2">
        <f>Expenditure!N80</f>
        <v>35</v>
      </c>
      <c r="E21" s="2"/>
      <c r="F21" s="2">
        <v>60</v>
      </c>
      <c r="G21" s="2"/>
      <c r="H21" s="44">
        <v>60</v>
      </c>
      <c r="I21" s="10">
        <f t="shared" si="1"/>
        <v>35</v>
      </c>
      <c r="J21" s="12">
        <v>0</v>
      </c>
    </row>
    <row r="22" spans="1:10" x14ac:dyDescent="0.35">
      <c r="A22" t="s">
        <v>5</v>
      </c>
      <c r="B22" s="30">
        <v>2715.6099999999997</v>
      </c>
      <c r="D22" s="2">
        <f>Expenditure!Q80</f>
        <v>2326.6800000000003</v>
      </c>
      <c r="E22" s="2"/>
      <c r="F22" s="2">
        <f>B22</f>
        <v>2715.6099999999997</v>
      </c>
      <c r="G22" s="2"/>
      <c r="H22" s="44">
        <f>(F22*$H$36)+F22</f>
        <v>2851.3904999999995</v>
      </c>
      <c r="I22" s="10">
        <f t="shared" si="1"/>
        <v>-388.92999999999938</v>
      </c>
      <c r="J22" s="12">
        <f>I22/B22</f>
        <v>-0.14322012365545841</v>
      </c>
    </row>
    <row r="23" spans="1:10" x14ac:dyDescent="0.35">
      <c r="A23" t="s">
        <v>61</v>
      </c>
      <c r="B23" s="30">
        <v>10</v>
      </c>
      <c r="D23" s="2">
        <f>Expenditure!O80</f>
        <v>0</v>
      </c>
      <c r="E23" s="2"/>
      <c r="F23" s="2">
        <v>200</v>
      </c>
      <c r="G23" s="2"/>
      <c r="H23" s="44">
        <v>250</v>
      </c>
      <c r="I23" s="10">
        <f t="shared" si="1"/>
        <v>-10</v>
      </c>
      <c r="J23" s="12"/>
    </row>
    <row r="24" spans="1:10" x14ac:dyDescent="0.35">
      <c r="A24" t="s">
        <v>58</v>
      </c>
      <c r="B24" s="30">
        <v>2100</v>
      </c>
      <c r="D24" s="2">
        <f>Expenditure!R80</f>
        <v>3900</v>
      </c>
      <c r="E24" s="2"/>
      <c r="F24" s="2">
        <f>D24+1300</f>
        <v>5200</v>
      </c>
      <c r="G24" s="2"/>
      <c r="H24" s="44">
        <v>2000</v>
      </c>
      <c r="I24" s="10">
        <f t="shared" si="1"/>
        <v>1800</v>
      </c>
      <c r="J24" s="12">
        <f>I24/B24</f>
        <v>0.8571428571428571</v>
      </c>
    </row>
    <row r="25" spans="1:10" x14ac:dyDescent="0.35">
      <c r="A25" t="s">
        <v>22</v>
      </c>
      <c r="B25" s="30">
        <v>510.84</v>
      </c>
      <c r="D25" s="2">
        <f>Expenditure!S80</f>
        <v>511.64</v>
      </c>
      <c r="E25" s="2"/>
      <c r="F25" s="2">
        <v>200</v>
      </c>
      <c r="G25" s="2"/>
      <c r="H25" s="44">
        <f>(250*$H$36)+250</f>
        <v>262.5</v>
      </c>
      <c r="I25" s="10">
        <f t="shared" si="1"/>
        <v>0.80000000000001137</v>
      </c>
      <c r="J25" s="12">
        <f>I25/B25</f>
        <v>1.5660480776760069E-3</v>
      </c>
    </row>
    <row r="26" spans="1:10" x14ac:dyDescent="0.35">
      <c r="A26" t="s">
        <v>31</v>
      </c>
      <c r="B26" s="30">
        <v>411.84</v>
      </c>
      <c r="D26" s="2">
        <f>Expenditure!T80</f>
        <v>446.16</v>
      </c>
      <c r="E26" s="2"/>
      <c r="F26" s="2">
        <f>D26+223.08</f>
        <v>669.24</v>
      </c>
      <c r="G26" s="2"/>
      <c r="H26" s="44">
        <f>(F26*$H$36)+F26</f>
        <v>702.702</v>
      </c>
      <c r="I26" s="10">
        <f t="shared" si="1"/>
        <v>34.32000000000005</v>
      </c>
      <c r="J26" s="12">
        <f>I26/B26</f>
        <v>8.3333333333333454E-2</v>
      </c>
    </row>
    <row r="27" spans="1:10" x14ac:dyDescent="0.35">
      <c r="A27" t="s">
        <v>73</v>
      </c>
      <c r="B27" s="30">
        <v>0</v>
      </c>
      <c r="D27" s="2">
        <f>Expenditure!U80</f>
        <v>0</v>
      </c>
      <c r="E27" s="2"/>
      <c r="F27" s="2">
        <v>0</v>
      </c>
      <c r="G27" s="2">
        <f>E27-F27</f>
        <v>0</v>
      </c>
      <c r="H27" s="44">
        <v>100</v>
      </c>
      <c r="I27" s="10">
        <f t="shared" si="1"/>
        <v>0</v>
      </c>
      <c r="J27" s="12">
        <v>0</v>
      </c>
    </row>
    <row r="28" spans="1:10" x14ac:dyDescent="0.35">
      <c r="A28" t="s">
        <v>52</v>
      </c>
      <c r="B28" s="30">
        <v>140</v>
      </c>
      <c r="D28" s="2">
        <f>Expenditure!V80</f>
        <v>156</v>
      </c>
      <c r="E28" s="2"/>
      <c r="F28" s="2">
        <v>150</v>
      </c>
      <c r="G28" s="2"/>
      <c r="H28" s="44">
        <f>(F28*$H$36)+F28</f>
        <v>157.5</v>
      </c>
      <c r="I28" s="10">
        <f t="shared" si="1"/>
        <v>16</v>
      </c>
      <c r="J28" s="12">
        <f>I28/B28</f>
        <v>0.11428571428571428</v>
      </c>
    </row>
    <row r="29" spans="1:10" x14ac:dyDescent="0.35">
      <c r="A29" t="s">
        <v>32</v>
      </c>
      <c r="B29" s="30">
        <v>529.36</v>
      </c>
      <c r="D29" s="2">
        <f>Expenditure!W80</f>
        <v>495.96</v>
      </c>
      <c r="E29" s="2"/>
      <c r="F29" s="2">
        <v>0</v>
      </c>
      <c r="G29" s="2"/>
      <c r="H29" s="44">
        <v>150</v>
      </c>
      <c r="I29" s="10">
        <f t="shared" si="1"/>
        <v>-33.400000000000034</v>
      </c>
      <c r="J29" s="12">
        <f>I29/B29</f>
        <v>-6.309505818346689E-2</v>
      </c>
    </row>
    <row r="30" spans="1:10" x14ac:dyDescent="0.35">
      <c r="A30" t="s">
        <v>8</v>
      </c>
      <c r="B30" s="30">
        <v>1317.5700000000002</v>
      </c>
      <c r="D30" s="2">
        <f>Expenditure!I80</f>
        <v>890.48</v>
      </c>
      <c r="E30" s="2"/>
      <c r="F30" s="2">
        <f>D30+200</f>
        <v>1090.48</v>
      </c>
      <c r="G30" s="2">
        <f>E30-F30</f>
        <v>-1090.48</v>
      </c>
      <c r="H30" s="44">
        <v>800</v>
      </c>
      <c r="I30" s="10">
        <f t="shared" si="1"/>
        <v>-427.09000000000015</v>
      </c>
      <c r="J30" s="12">
        <f>I30/B30</f>
        <v>-0.32414976054403188</v>
      </c>
    </row>
    <row r="31" spans="1:10" x14ac:dyDescent="0.35">
      <c r="A31" t="s">
        <v>9</v>
      </c>
      <c r="B31" s="30">
        <v>0</v>
      </c>
      <c r="D31" s="2">
        <f>Expenditure!X80</f>
        <v>0</v>
      </c>
      <c r="E31" s="2"/>
      <c r="F31" s="2">
        <v>0</v>
      </c>
      <c r="G31" s="2">
        <f>E31-F31</f>
        <v>0</v>
      </c>
      <c r="H31" s="44">
        <v>0</v>
      </c>
      <c r="I31" s="10">
        <f t="shared" si="1"/>
        <v>0</v>
      </c>
      <c r="J31" s="12">
        <v>1</v>
      </c>
    </row>
    <row r="32" spans="1:10" x14ac:dyDescent="0.35">
      <c r="A32" t="s">
        <v>10</v>
      </c>
      <c r="B32" s="30">
        <v>100</v>
      </c>
      <c r="D32" s="2">
        <f>Expenditure!Y80</f>
        <v>0</v>
      </c>
      <c r="E32" s="2"/>
      <c r="F32" s="2">
        <v>0</v>
      </c>
      <c r="G32" s="2"/>
      <c r="H32" s="44">
        <v>0</v>
      </c>
      <c r="I32" s="10">
        <f t="shared" si="1"/>
        <v>-100</v>
      </c>
      <c r="J32" s="12">
        <v>0</v>
      </c>
    </row>
    <row r="33" spans="1:10" x14ac:dyDescent="0.35">
      <c r="A33" t="s">
        <v>11</v>
      </c>
      <c r="B33" s="31">
        <v>2050.27</v>
      </c>
      <c r="D33" s="8">
        <f>Expenditure!Z80</f>
        <v>1192.6100000000001</v>
      </c>
      <c r="E33" s="8"/>
      <c r="F33" s="8">
        <f>D33</f>
        <v>1192.6100000000001</v>
      </c>
      <c r="H33" s="45">
        <v>150</v>
      </c>
      <c r="I33" s="10">
        <f t="shared" si="1"/>
        <v>-857.65999999999985</v>
      </c>
      <c r="J33" s="12">
        <v>0</v>
      </c>
    </row>
    <row r="34" spans="1:10" x14ac:dyDescent="0.35">
      <c r="A34" s="1"/>
      <c r="B34" s="32">
        <f>SUM(B17:B33)</f>
        <v>14351.45</v>
      </c>
      <c r="C34" s="24">
        <f t="shared" ref="C34:D34" si="2">SUM(C17:C33)</f>
        <v>0</v>
      </c>
      <c r="D34" s="39">
        <f t="shared" si="2"/>
        <v>14558.719999999998</v>
      </c>
      <c r="E34" s="24">
        <v>45.8</v>
      </c>
      <c r="F34" s="24">
        <f>SUM(F17:F33)</f>
        <v>20089.689999999999</v>
      </c>
      <c r="G34" s="24"/>
      <c r="H34" s="46">
        <f>SUM(H17:H33)</f>
        <v>16510.829999999994</v>
      </c>
      <c r="I34" s="10">
        <f t="shared" si="1"/>
        <v>207.2699999999968</v>
      </c>
      <c r="J34" s="12">
        <f>I34/B34</f>
        <v>1.4442443098083941E-2</v>
      </c>
    </row>
    <row r="35" spans="1:10" x14ac:dyDescent="0.35">
      <c r="A35" s="1"/>
      <c r="B35" s="30"/>
      <c r="D35" s="2"/>
      <c r="E35" s="2">
        <v>45.8</v>
      </c>
      <c r="F35" s="2"/>
      <c r="G35" s="2"/>
      <c r="H35" s="34"/>
    </row>
    <row r="36" spans="1:10" x14ac:dyDescent="0.35">
      <c r="A36" s="1"/>
      <c r="B36" s="30"/>
      <c r="D36" s="2"/>
      <c r="E36" s="2">
        <v>100</v>
      </c>
      <c r="F36" s="2"/>
      <c r="G36" s="2"/>
      <c r="H36" s="35">
        <v>0.05</v>
      </c>
    </row>
    <row r="37" spans="1:10" x14ac:dyDescent="0.35">
      <c r="A37" s="1"/>
      <c r="B37" s="30"/>
      <c r="D37" s="2"/>
      <c r="E37" s="2">
        <v>168</v>
      </c>
      <c r="F37" s="2"/>
      <c r="G37" s="2">
        <f>E37-F37</f>
        <v>168</v>
      </c>
      <c r="H37" s="34"/>
    </row>
    <row r="38" spans="1:10" x14ac:dyDescent="0.35">
      <c r="A38" s="1"/>
      <c r="B38" s="30"/>
      <c r="C38" s="9"/>
      <c r="D38" s="2"/>
      <c r="E38" s="2">
        <v>182.8</v>
      </c>
      <c r="F38" s="2"/>
      <c r="G38" s="2"/>
      <c r="H38" s="34"/>
    </row>
    <row r="39" spans="1:10" x14ac:dyDescent="0.35">
      <c r="A39" s="1" t="s">
        <v>85</v>
      </c>
      <c r="B39" s="32">
        <v>11371.43</v>
      </c>
      <c r="C39" s="9"/>
      <c r="D39" s="24">
        <f>B43</f>
        <v>8262.4200000000019</v>
      </c>
      <c r="E39" s="24">
        <v>182.8</v>
      </c>
      <c r="F39" s="24">
        <f>B43</f>
        <v>8262.4200000000019</v>
      </c>
      <c r="G39" s="24"/>
      <c r="H39" s="46">
        <f>F43</f>
        <v>1394.3900000000031</v>
      </c>
    </row>
    <row r="40" spans="1:10" x14ac:dyDescent="0.35">
      <c r="A40" s="1" t="s">
        <v>86</v>
      </c>
      <c r="B40" s="31">
        <f>B14</f>
        <v>11242.44</v>
      </c>
      <c r="D40" s="31">
        <f>D14</f>
        <v>11977.820000000002</v>
      </c>
      <c r="E40" s="2">
        <v>198.64</v>
      </c>
      <c r="F40" s="8">
        <f>F14</f>
        <v>13221.66</v>
      </c>
      <c r="G40" s="2">
        <f t="shared" ref="G40:H40" si="3">G14</f>
        <v>0</v>
      </c>
      <c r="H40" s="45">
        <f t="shared" si="3"/>
        <v>12613.5</v>
      </c>
    </row>
    <row r="41" spans="1:10" x14ac:dyDescent="0.35">
      <c r="A41" s="1"/>
      <c r="B41" s="30">
        <f>SUM(B39:B40)</f>
        <v>22613.870000000003</v>
      </c>
      <c r="D41" s="30">
        <f>SUM(D39:D40)</f>
        <v>20240.240000000005</v>
      </c>
      <c r="E41" s="2">
        <v>454.89</v>
      </c>
      <c r="F41" s="2">
        <f>SUM(F39:F40)</f>
        <v>21484.080000000002</v>
      </c>
      <c r="G41" s="2">
        <f t="shared" ref="G41:H41" si="4">SUM(G39:G40)</f>
        <v>0</v>
      </c>
      <c r="H41" s="44">
        <f t="shared" si="4"/>
        <v>14007.890000000003</v>
      </c>
    </row>
    <row r="42" spans="1:10" x14ac:dyDescent="0.35">
      <c r="A42" s="1" t="s">
        <v>87</v>
      </c>
      <c r="B42" s="31">
        <f>B34</f>
        <v>14351.45</v>
      </c>
      <c r="D42" s="31">
        <f>D34</f>
        <v>14558.719999999998</v>
      </c>
      <c r="E42" s="2">
        <v>785.02</v>
      </c>
      <c r="F42" s="8">
        <f>F34</f>
        <v>20089.689999999999</v>
      </c>
      <c r="G42" s="2">
        <f t="shared" ref="G42:H42" si="5">G34</f>
        <v>0</v>
      </c>
      <c r="H42" s="45">
        <f t="shared" si="5"/>
        <v>16510.829999999994</v>
      </c>
    </row>
    <row r="43" spans="1:10" x14ac:dyDescent="0.35">
      <c r="A43" s="51" t="s">
        <v>88</v>
      </c>
      <c r="B43" s="32">
        <f>B41-B42</f>
        <v>8262.4200000000019</v>
      </c>
      <c r="C43" s="9"/>
      <c r="D43" s="32">
        <f>D41-D42</f>
        <v>5681.5200000000077</v>
      </c>
      <c r="E43" s="24">
        <v>25</v>
      </c>
      <c r="F43" s="24">
        <f>F41-F42</f>
        <v>1394.3900000000031</v>
      </c>
      <c r="G43" s="24">
        <f t="shared" ref="G43:H43" si="6">G41-G42</f>
        <v>0</v>
      </c>
      <c r="H43" s="46">
        <f t="shared" si="6"/>
        <v>-2502.9399999999914</v>
      </c>
    </row>
    <row r="44" spans="1:10" x14ac:dyDescent="0.35">
      <c r="B44" s="30"/>
      <c r="D44" s="2"/>
      <c r="E44" s="2">
        <v>428.28</v>
      </c>
      <c r="F44" s="2"/>
      <c r="G44" s="2">
        <f>E44-F44</f>
        <v>428.28</v>
      </c>
      <c r="H44" s="2"/>
    </row>
    <row r="45" spans="1:10" x14ac:dyDescent="0.35">
      <c r="A45" s="9" t="s">
        <v>33</v>
      </c>
      <c r="B45" s="30"/>
      <c r="C45" s="9"/>
      <c r="D45" s="2"/>
      <c r="E45" s="2">
        <v>26</v>
      </c>
      <c r="F45" s="2"/>
      <c r="G45" s="2"/>
      <c r="H45" s="2"/>
    </row>
    <row r="46" spans="1:10" x14ac:dyDescent="0.35">
      <c r="A46" t="s">
        <v>34</v>
      </c>
      <c r="B46" s="30">
        <v>5739.85</v>
      </c>
      <c r="D46" s="2">
        <v>4532.5600000000004</v>
      </c>
      <c r="E46" s="2">
        <v>26</v>
      </c>
      <c r="F46" s="2"/>
      <c r="G46" s="2"/>
      <c r="H46" s="2"/>
    </row>
    <row r="47" spans="1:10" x14ac:dyDescent="0.35">
      <c r="A47" t="s">
        <v>35</v>
      </c>
      <c r="B47" s="31">
        <v>2522.5700000000002</v>
      </c>
      <c r="D47" s="8">
        <v>8249.59</v>
      </c>
      <c r="E47" s="2">
        <v>45.6</v>
      </c>
      <c r="F47" s="2"/>
      <c r="G47" s="2"/>
      <c r="H47" s="2"/>
    </row>
    <row r="48" spans="1:10" x14ac:dyDescent="0.35">
      <c r="A48" s="9" t="s">
        <v>81</v>
      </c>
      <c r="B48" s="32">
        <f>SUM(B46:B47)</f>
        <v>8262.42</v>
      </c>
      <c r="D48" s="24">
        <f>SUM(D46:D47)</f>
        <v>12782.150000000001</v>
      </c>
      <c r="E48" s="2">
        <v>45.8</v>
      </c>
      <c r="F48" s="2"/>
      <c r="G48" s="2"/>
      <c r="H48" s="2"/>
      <c r="J48" s="1"/>
    </row>
    <row r="49" spans="1:10" x14ac:dyDescent="0.35">
      <c r="A49" t="s">
        <v>93</v>
      </c>
      <c r="B49" s="32"/>
      <c r="D49" s="8"/>
      <c r="E49" s="2"/>
      <c r="F49" s="2"/>
      <c r="G49" s="2"/>
      <c r="H49" s="2"/>
      <c r="J49" s="1"/>
    </row>
    <row r="50" spans="1:10" x14ac:dyDescent="0.35">
      <c r="A50" s="9"/>
      <c r="B50" s="32"/>
      <c r="D50" s="2">
        <f>SUM(D48:D49)</f>
        <v>12782.150000000001</v>
      </c>
      <c r="E50" s="2"/>
      <c r="F50" s="2"/>
      <c r="G50" s="2"/>
      <c r="H50" s="2"/>
      <c r="J50" s="1"/>
    </row>
    <row r="51" spans="1:10" x14ac:dyDescent="0.35">
      <c r="A51" t="s">
        <v>39</v>
      </c>
      <c r="D51" s="8"/>
    </row>
    <row r="52" spans="1:10" x14ac:dyDescent="0.35">
      <c r="A52" s="9" t="s">
        <v>94</v>
      </c>
      <c r="D52" s="24">
        <f>D50-D51</f>
        <v>12782.150000000001</v>
      </c>
    </row>
    <row r="54" spans="1:10" x14ac:dyDescent="0.35">
      <c r="G54">
        <f>E54-F54</f>
        <v>0</v>
      </c>
    </row>
  </sheetData>
  <pageMargins left="0.7" right="0.7" top="0.75" bottom="0.75" header="0.3" footer="0.3"/>
  <pageSetup paperSize="9" scale="97" orientation="portrait" r:id="rId1"/>
  <headerFooter>
    <oddHeader>&amp;C&amp;"-,Bold"&amp;14Barford St John and St Michael Parish Council
Accounts at 14th September 2023</oddHeader>
  </headerFooter>
  <rowBreaks count="1" manualBreakCount="1">
    <brk id="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view="pageLayout" zoomScaleNormal="100" workbookViewId="0">
      <selection activeCell="E6" sqref="E6"/>
    </sheetView>
  </sheetViews>
  <sheetFormatPr defaultRowHeight="14.5" x14ac:dyDescent="0.35"/>
  <cols>
    <col min="1" max="1" width="4.54296875" customWidth="1"/>
    <col min="2" max="2" width="50.81640625" customWidth="1"/>
  </cols>
  <sheetData>
    <row r="1" spans="1:4" x14ac:dyDescent="0.35">
      <c r="A1" t="s">
        <v>191</v>
      </c>
    </row>
    <row r="2" spans="1:4" x14ac:dyDescent="0.35">
      <c r="B2" t="s">
        <v>37</v>
      </c>
      <c r="C2" s="2">
        <v>1761.93</v>
      </c>
      <c r="D2" s="2"/>
    </row>
    <row r="3" spans="1:4" x14ac:dyDescent="0.35">
      <c r="B3" t="s">
        <v>38</v>
      </c>
      <c r="C3" s="8">
        <v>7425.4</v>
      </c>
      <c r="D3" s="2"/>
    </row>
    <row r="4" spans="1:4" x14ac:dyDescent="0.35">
      <c r="C4" s="2"/>
      <c r="D4" s="2">
        <f>SUM(C2:C3)</f>
        <v>9187.33</v>
      </c>
    </row>
    <row r="5" spans="1:4" x14ac:dyDescent="0.35">
      <c r="C5" s="2"/>
      <c r="D5" s="2"/>
    </row>
    <row r="6" spans="1:4" x14ac:dyDescent="0.35">
      <c r="A6" t="s">
        <v>39</v>
      </c>
      <c r="C6" s="2"/>
      <c r="D6" s="2"/>
    </row>
    <row r="7" spans="1:4" x14ac:dyDescent="0.35">
      <c r="B7" s="15"/>
      <c r="C7" s="2"/>
      <c r="D7" s="2"/>
    </row>
    <row r="8" spans="1:4" x14ac:dyDescent="0.35">
      <c r="B8" s="15"/>
      <c r="C8" s="2"/>
      <c r="D8" s="2"/>
    </row>
    <row r="9" spans="1:4" x14ac:dyDescent="0.35">
      <c r="B9" s="15"/>
      <c r="C9" s="2"/>
      <c r="D9" s="2"/>
    </row>
    <row r="10" spans="1:4" x14ac:dyDescent="0.35">
      <c r="B10" s="15"/>
      <c r="C10" s="2"/>
      <c r="D10" s="2"/>
    </row>
    <row r="11" spans="1:4" x14ac:dyDescent="0.35">
      <c r="B11" s="15"/>
      <c r="C11" s="2"/>
      <c r="D11" s="2"/>
    </row>
    <row r="12" spans="1:4" x14ac:dyDescent="0.35">
      <c r="C12" s="2"/>
      <c r="D12" s="8">
        <f>SUM(C7:C11)</f>
        <v>0</v>
      </c>
    </row>
    <row r="13" spans="1:4" x14ac:dyDescent="0.35">
      <c r="C13" s="2"/>
      <c r="D13" s="2">
        <f>D4-D12</f>
        <v>9187.33</v>
      </c>
    </row>
    <row r="14" spans="1:4" x14ac:dyDescent="0.35">
      <c r="A14" t="s">
        <v>92</v>
      </c>
      <c r="C14" s="2"/>
      <c r="D14" s="2"/>
    </row>
    <row r="15" spans="1:4" x14ac:dyDescent="0.35">
      <c r="C15" s="52"/>
      <c r="D15" s="2"/>
    </row>
    <row r="16" spans="1:4" x14ac:dyDescent="0.35">
      <c r="C16" s="52"/>
      <c r="D16" s="2"/>
    </row>
    <row r="17" spans="1:4" x14ac:dyDescent="0.35">
      <c r="C17" s="52"/>
      <c r="D17" s="2"/>
    </row>
    <row r="18" spans="1:4" x14ac:dyDescent="0.35">
      <c r="C18" s="52"/>
      <c r="D18" s="2"/>
    </row>
    <row r="19" spans="1:4" x14ac:dyDescent="0.35">
      <c r="D19" s="2"/>
    </row>
    <row r="20" spans="1:4" x14ac:dyDescent="0.35">
      <c r="C20" s="2"/>
      <c r="D20" s="8">
        <f>SUM(C15:C19)</f>
        <v>0</v>
      </c>
    </row>
    <row r="21" spans="1:4" x14ac:dyDescent="0.35">
      <c r="C21" s="2"/>
      <c r="D21" s="2">
        <f>D13+D20</f>
        <v>9187.33</v>
      </c>
    </row>
    <row r="22" spans="1:4" x14ac:dyDescent="0.35">
      <c r="A22" t="s">
        <v>41</v>
      </c>
      <c r="C22" s="2"/>
      <c r="D22" s="2"/>
    </row>
    <row r="23" spans="1:4" x14ac:dyDescent="0.35">
      <c r="B23" t="s">
        <v>40</v>
      </c>
      <c r="C23" s="2">
        <v>0</v>
      </c>
      <c r="D23" s="2"/>
    </row>
    <row r="24" spans="1:4" x14ac:dyDescent="0.35">
      <c r="B24" t="s">
        <v>40</v>
      </c>
      <c r="C24" s="2">
        <v>0</v>
      </c>
      <c r="D24" s="2"/>
    </row>
    <row r="25" spans="1:4" x14ac:dyDescent="0.35">
      <c r="B25" t="s">
        <v>40</v>
      </c>
      <c r="C25" s="8">
        <v>0</v>
      </c>
      <c r="D25" s="2"/>
    </row>
    <row r="26" spans="1:4" x14ac:dyDescent="0.35">
      <c r="C26" s="2"/>
      <c r="D26" s="8">
        <f>SUM(C23:C25)</f>
        <v>0</v>
      </c>
    </row>
    <row r="27" spans="1:4" x14ac:dyDescent="0.35">
      <c r="A27" t="s">
        <v>27</v>
      </c>
      <c r="C27" s="2"/>
      <c r="D27" s="2">
        <f>D21+D26</f>
        <v>9187.33</v>
      </c>
    </row>
    <row r="28" spans="1:4" x14ac:dyDescent="0.35">
      <c r="C28" s="2"/>
      <c r="D28" s="2"/>
    </row>
    <row r="29" spans="1:4" x14ac:dyDescent="0.35">
      <c r="A29" t="s">
        <v>42</v>
      </c>
      <c r="C29" s="2"/>
      <c r="D29" s="23"/>
    </row>
    <row r="31" spans="1:4" x14ac:dyDescent="0.35">
      <c r="A31" t="s">
        <v>43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Bank Reconciliation at 31/03/2025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145C-BDC3-4F4D-AC66-C3E865F130C2}">
  <sheetPr>
    <pageSetUpPr fitToPage="1"/>
  </sheetPr>
  <dimension ref="A1:L51"/>
  <sheetViews>
    <sheetView topLeftCell="A34" zoomScaleNormal="100" workbookViewId="0">
      <selection activeCell="P42" sqref="P42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9.1796875" bestFit="1" customWidth="1"/>
    <col min="7" max="7" width="1.54296875" customWidth="1"/>
    <col min="8" max="8" width="10.36328125" bestFit="1" customWidth="1"/>
    <col min="9" max="9" width="1.54296875" customWidth="1"/>
    <col min="10" max="10" width="9.1796875" customWidth="1"/>
    <col min="11" max="11" width="7.26953125" hidden="1" customWidth="1"/>
    <col min="12" max="12" width="7.7265625" hidden="1" customWidth="1"/>
    <col min="13" max="13" width="2.7265625" customWidth="1"/>
  </cols>
  <sheetData>
    <row r="1" spans="1:12" x14ac:dyDescent="0.35">
      <c r="B1" s="40" t="s">
        <v>72</v>
      </c>
      <c r="C1" s="41"/>
      <c r="D1" s="43" t="s">
        <v>78</v>
      </c>
      <c r="E1" s="41"/>
      <c r="F1" s="28" t="s">
        <v>78</v>
      </c>
      <c r="G1" s="28"/>
      <c r="H1" s="28" t="s">
        <v>78</v>
      </c>
      <c r="I1" s="28"/>
      <c r="J1" s="42" t="s">
        <v>82</v>
      </c>
      <c r="K1" s="11" t="s">
        <v>29</v>
      </c>
      <c r="L1" s="11" t="s">
        <v>51</v>
      </c>
    </row>
    <row r="2" spans="1:12" x14ac:dyDescent="0.35">
      <c r="B2" s="40" t="s">
        <v>74</v>
      </c>
      <c r="C2" s="41"/>
      <c r="D2" s="43" t="s">
        <v>75</v>
      </c>
      <c r="E2" s="41"/>
      <c r="F2" s="28" t="s">
        <v>76</v>
      </c>
      <c r="G2" s="28"/>
      <c r="H2" s="28" t="s">
        <v>77</v>
      </c>
      <c r="I2" s="28"/>
      <c r="J2" s="42" t="s">
        <v>75</v>
      </c>
      <c r="K2" s="11"/>
      <c r="L2" s="11"/>
    </row>
    <row r="3" spans="1:12" x14ac:dyDescent="0.35">
      <c r="A3" s="9" t="s">
        <v>26</v>
      </c>
      <c r="B3" s="29"/>
      <c r="C3" s="9"/>
      <c r="D3" s="29"/>
      <c r="J3" s="33"/>
    </row>
    <row r="4" spans="1:12" x14ac:dyDescent="0.35">
      <c r="A4" t="s">
        <v>13</v>
      </c>
      <c r="B4" s="30">
        <v>10000</v>
      </c>
      <c r="D4" s="47">
        <v>10300</v>
      </c>
      <c r="F4" s="2">
        <v>10300</v>
      </c>
      <c r="G4" s="2"/>
      <c r="H4" s="2">
        <f>F4</f>
        <v>10300</v>
      </c>
      <c r="I4" s="2"/>
      <c r="J4" s="44">
        <v>10300</v>
      </c>
      <c r="K4" s="10">
        <f t="shared" ref="K4:K13" si="0">F4-B4</f>
        <v>300</v>
      </c>
      <c r="L4" s="12">
        <f>K4/B4</f>
        <v>0.03</v>
      </c>
    </row>
    <row r="5" spans="1:12" x14ac:dyDescent="0.35">
      <c r="A5" t="s">
        <v>14</v>
      </c>
      <c r="B5" s="30">
        <v>709</v>
      </c>
      <c r="D5" s="47">
        <v>709</v>
      </c>
      <c r="F5" s="2">
        <v>709</v>
      </c>
      <c r="G5" s="2"/>
      <c r="H5" s="2">
        <f>F5</f>
        <v>709</v>
      </c>
      <c r="I5" s="2"/>
      <c r="J5" s="44">
        <v>709</v>
      </c>
      <c r="K5" s="10">
        <f t="shared" si="0"/>
        <v>0</v>
      </c>
      <c r="L5" s="12">
        <f>K5/B5</f>
        <v>0</v>
      </c>
    </row>
    <row r="6" spans="1:12" x14ac:dyDescent="0.35">
      <c r="A6" t="s">
        <v>79</v>
      </c>
      <c r="B6" s="30">
        <v>0</v>
      </c>
      <c r="D6" s="47"/>
      <c r="F6" s="2">
        <v>0</v>
      </c>
      <c r="G6" s="2"/>
      <c r="H6" s="2">
        <f>F6</f>
        <v>0</v>
      </c>
      <c r="I6" s="2"/>
      <c r="J6" s="44">
        <v>0</v>
      </c>
      <c r="K6" s="10">
        <f t="shared" si="0"/>
        <v>0</v>
      </c>
      <c r="L6" s="12">
        <v>0</v>
      </c>
    </row>
    <row r="7" spans="1:12" x14ac:dyDescent="0.35">
      <c r="A7" t="s">
        <v>44</v>
      </c>
      <c r="B7" s="30">
        <v>17.63</v>
      </c>
      <c r="D7" s="47">
        <v>18</v>
      </c>
      <c r="F7" s="2">
        <v>14.94</v>
      </c>
      <c r="G7" s="2"/>
      <c r="H7" s="2">
        <f>F7</f>
        <v>14.94</v>
      </c>
      <c r="I7" s="2"/>
      <c r="J7" s="44">
        <v>15</v>
      </c>
      <c r="K7" s="10">
        <f t="shared" si="0"/>
        <v>-2.6899999999999995</v>
      </c>
      <c r="L7" s="12">
        <f>K7/B7</f>
        <v>-0.15258082813386273</v>
      </c>
    </row>
    <row r="8" spans="1:12" x14ac:dyDescent="0.35">
      <c r="A8" t="s">
        <v>17</v>
      </c>
      <c r="B8" s="30">
        <v>0.24</v>
      </c>
      <c r="D8" s="47">
        <v>0</v>
      </c>
      <c r="F8" s="2">
        <v>0.97</v>
      </c>
      <c r="G8" s="2"/>
      <c r="H8" s="2">
        <f>F8+0.78</f>
        <v>1.75</v>
      </c>
      <c r="I8" s="2"/>
      <c r="J8" s="44">
        <v>2</v>
      </c>
      <c r="K8" s="10">
        <f t="shared" si="0"/>
        <v>0.73</v>
      </c>
      <c r="L8" s="12">
        <f>K8/B8</f>
        <v>3.0416666666666665</v>
      </c>
    </row>
    <row r="9" spans="1:12" x14ac:dyDescent="0.35">
      <c r="A9" t="s">
        <v>57</v>
      </c>
      <c r="B9" s="30">
        <v>90</v>
      </c>
      <c r="D9" s="47">
        <v>300</v>
      </c>
      <c r="F9" s="2">
        <v>185</v>
      </c>
      <c r="G9" s="2"/>
      <c r="H9" s="2">
        <f>F9+300</f>
        <v>485</v>
      </c>
      <c r="I9" s="2"/>
      <c r="J9" s="44">
        <v>300</v>
      </c>
      <c r="K9" s="10">
        <f t="shared" si="0"/>
        <v>95</v>
      </c>
      <c r="L9" s="12">
        <f>K9/B9</f>
        <v>1.0555555555555556</v>
      </c>
    </row>
    <row r="10" spans="1:12" x14ac:dyDescent="0.35">
      <c r="A10" t="s">
        <v>9</v>
      </c>
      <c r="B10" s="30">
        <v>1069.75</v>
      </c>
      <c r="D10" s="47">
        <v>0</v>
      </c>
      <c r="F10" s="2">
        <v>0</v>
      </c>
      <c r="G10" s="2"/>
      <c r="H10" s="2">
        <f>F10</f>
        <v>0</v>
      </c>
      <c r="I10" s="2"/>
      <c r="J10" s="44">
        <v>0</v>
      </c>
      <c r="K10" s="10">
        <f t="shared" si="0"/>
        <v>-1069.75</v>
      </c>
      <c r="L10" s="12">
        <v>1</v>
      </c>
    </row>
    <row r="11" spans="1:12" x14ac:dyDescent="0.35">
      <c r="A11" t="s">
        <v>66</v>
      </c>
      <c r="B11" s="30">
        <v>0</v>
      </c>
      <c r="D11" s="47"/>
      <c r="F11" s="2">
        <v>28</v>
      </c>
      <c r="G11" s="2"/>
      <c r="H11" s="2">
        <f>F11</f>
        <v>28</v>
      </c>
      <c r="I11" s="2"/>
      <c r="J11" s="44">
        <v>0</v>
      </c>
      <c r="K11" s="10">
        <f t="shared" si="0"/>
        <v>28</v>
      </c>
      <c r="L11" s="12">
        <v>0</v>
      </c>
    </row>
    <row r="12" spans="1:12" x14ac:dyDescent="0.35">
      <c r="A12" t="s">
        <v>59</v>
      </c>
      <c r="B12" s="31">
        <v>2932.53</v>
      </c>
      <c r="D12" s="48">
        <v>895</v>
      </c>
      <c r="F12" s="8">
        <v>0</v>
      </c>
      <c r="G12" s="2"/>
      <c r="H12" s="8">
        <f>F29+12.05</f>
        <v>798.71999999999991</v>
      </c>
      <c r="I12" s="2">
        <f>G12-H12</f>
        <v>-798.71999999999991</v>
      </c>
      <c r="J12" s="45">
        <v>800</v>
      </c>
      <c r="K12" s="10">
        <f t="shared" si="0"/>
        <v>-2932.53</v>
      </c>
      <c r="L12" s="22" t="s">
        <v>45</v>
      </c>
    </row>
    <row r="13" spans="1:12" x14ac:dyDescent="0.35">
      <c r="A13" s="9" t="s">
        <v>27</v>
      </c>
      <c r="B13" s="32">
        <f>SUM(B4:B12)</f>
        <v>14819.15</v>
      </c>
      <c r="C13" s="24">
        <f>SUM(C4:C12)</f>
        <v>0</v>
      </c>
      <c r="D13" s="49">
        <f>SUM(D4:D12)</f>
        <v>12222</v>
      </c>
      <c r="F13" s="24">
        <f>SUM(F4:F12)</f>
        <v>11237.91</v>
      </c>
      <c r="G13" s="24"/>
      <c r="H13" s="24">
        <f>SUM(H4:H12)</f>
        <v>12337.41</v>
      </c>
      <c r="I13" s="24"/>
      <c r="J13" s="46">
        <f>SUM(J4:J12)</f>
        <v>12126</v>
      </c>
      <c r="K13" s="10">
        <f t="shared" si="0"/>
        <v>-3581.24</v>
      </c>
      <c r="L13" s="12">
        <f>K13/B13</f>
        <v>-0.24166298336949149</v>
      </c>
    </row>
    <row r="14" spans="1:12" x14ac:dyDescent="0.35">
      <c r="B14" s="30"/>
      <c r="D14" s="30"/>
      <c r="F14" s="2"/>
      <c r="G14" s="2"/>
      <c r="H14" s="2"/>
      <c r="I14" s="2"/>
      <c r="J14" s="34"/>
    </row>
    <row r="15" spans="1:12" x14ac:dyDescent="0.35">
      <c r="A15" s="9" t="s">
        <v>28</v>
      </c>
      <c r="B15" s="30"/>
      <c r="C15" s="9"/>
      <c r="D15" s="30"/>
      <c r="F15" s="2"/>
      <c r="G15" s="2"/>
      <c r="H15" s="2"/>
      <c r="I15" s="2"/>
      <c r="J15" s="34"/>
    </row>
    <row r="16" spans="1:12" x14ac:dyDescent="0.35">
      <c r="A16" t="s">
        <v>30</v>
      </c>
      <c r="B16" s="30">
        <v>2217.2399999999998</v>
      </c>
      <c r="D16" s="37">
        <v>2777</v>
      </c>
      <c r="F16" s="2">
        <v>2273.92</v>
      </c>
      <c r="G16" s="2"/>
      <c r="H16" s="2">
        <f>F16+914.4</f>
        <v>3188.32</v>
      </c>
      <c r="I16" s="2">
        <f>G16-H16</f>
        <v>-3188.32</v>
      </c>
      <c r="J16" s="44">
        <f>((228.6*J35)+228.6)*12</f>
        <v>2880.36</v>
      </c>
      <c r="K16" s="10">
        <f t="shared" ref="K16:K33" si="1">F16-B16</f>
        <v>56.680000000000291</v>
      </c>
      <c r="L16" s="12">
        <f>K16/B16</f>
        <v>2.5563312947628716E-2</v>
      </c>
    </row>
    <row r="17" spans="1:12" x14ac:dyDescent="0.35">
      <c r="A17" t="s">
        <v>84</v>
      </c>
      <c r="B17" s="30">
        <v>406.95</v>
      </c>
      <c r="D17" s="36">
        <v>350</v>
      </c>
      <c r="F17" s="2">
        <v>257</v>
      </c>
      <c r="G17" s="2"/>
      <c r="H17" s="2">
        <f>F17+104</f>
        <v>361</v>
      </c>
      <c r="I17" s="2">
        <f>G17-H17</f>
        <v>-361</v>
      </c>
      <c r="J17" s="44">
        <f>26*12+38</f>
        <v>350</v>
      </c>
      <c r="K17" s="10"/>
      <c r="L17" s="12"/>
    </row>
    <row r="18" spans="1:12" x14ac:dyDescent="0.35">
      <c r="A18" t="s">
        <v>3</v>
      </c>
      <c r="B18" s="30">
        <v>549.82000000000005</v>
      </c>
      <c r="D18" s="36">
        <v>566</v>
      </c>
      <c r="F18" s="2">
        <v>554.44000000000005</v>
      </c>
      <c r="G18" s="2"/>
      <c r="H18" s="2">
        <f>F18</f>
        <v>554.44000000000005</v>
      </c>
      <c r="I18" s="2"/>
      <c r="J18" s="44">
        <f>(H18*J35)+H18</f>
        <v>582.16200000000003</v>
      </c>
      <c r="K18" s="10">
        <f t="shared" si="1"/>
        <v>4.6200000000000045</v>
      </c>
      <c r="L18" s="12">
        <f>K18/B18</f>
        <v>8.4027499909061221E-3</v>
      </c>
    </row>
    <row r="19" spans="1:12" x14ac:dyDescent="0.35">
      <c r="A19" t="s">
        <v>63</v>
      </c>
      <c r="B19" s="30">
        <v>90</v>
      </c>
      <c r="D19" s="36">
        <v>218</v>
      </c>
      <c r="F19" s="2">
        <v>160</v>
      </c>
      <c r="G19" s="2"/>
      <c r="H19" s="2">
        <f>F19</f>
        <v>160</v>
      </c>
      <c r="I19" s="2"/>
      <c r="J19" s="44">
        <f>(H19*$J$35)+H19</f>
        <v>168</v>
      </c>
      <c r="K19" s="10">
        <f t="shared" si="1"/>
        <v>70</v>
      </c>
      <c r="L19" s="12">
        <f>K19/B19</f>
        <v>0.77777777777777779</v>
      </c>
    </row>
    <row r="20" spans="1:12" x14ac:dyDescent="0.35">
      <c r="A20" t="s">
        <v>64</v>
      </c>
      <c r="B20" s="30">
        <v>260</v>
      </c>
      <c r="D20" s="36">
        <v>268</v>
      </c>
      <c r="F20" s="2">
        <v>0</v>
      </c>
      <c r="G20" s="2"/>
      <c r="H20" s="2">
        <f>F20</f>
        <v>0</v>
      </c>
      <c r="I20" s="2"/>
      <c r="J20" s="44">
        <v>60</v>
      </c>
      <c r="K20" s="10">
        <f t="shared" si="1"/>
        <v>-260</v>
      </c>
      <c r="L20" s="12">
        <v>0</v>
      </c>
    </row>
    <row r="21" spans="1:12" x14ac:dyDescent="0.35">
      <c r="A21" t="s">
        <v>5</v>
      </c>
      <c r="B21" s="30">
        <v>3223.9500000000003</v>
      </c>
      <c r="D21" s="36">
        <v>3236</v>
      </c>
      <c r="F21" s="2">
        <v>2715.61</v>
      </c>
      <c r="G21" s="2"/>
      <c r="H21" s="2">
        <f>F21+48.76</f>
        <v>2764.3700000000003</v>
      </c>
      <c r="I21" s="2"/>
      <c r="J21" s="44">
        <f>(H21*$J$35)+H21</f>
        <v>2902.5885000000003</v>
      </c>
      <c r="K21" s="10">
        <f t="shared" si="1"/>
        <v>-508.34000000000015</v>
      </c>
      <c r="L21" s="12">
        <f>K21/B21</f>
        <v>-0.1576761426200779</v>
      </c>
    </row>
    <row r="22" spans="1:12" x14ac:dyDescent="0.35">
      <c r="A22" t="s">
        <v>61</v>
      </c>
      <c r="B22" s="30">
        <v>0</v>
      </c>
      <c r="D22" s="36">
        <v>250</v>
      </c>
      <c r="F22" s="2">
        <v>10</v>
      </c>
      <c r="G22" s="2"/>
      <c r="H22" s="2">
        <f>F22</f>
        <v>10</v>
      </c>
      <c r="I22" s="2"/>
      <c r="J22" s="44">
        <v>250</v>
      </c>
      <c r="K22" s="10">
        <f t="shared" si="1"/>
        <v>10</v>
      </c>
      <c r="L22" s="12"/>
    </row>
    <row r="23" spans="1:12" x14ac:dyDescent="0.35">
      <c r="A23" t="s">
        <v>58</v>
      </c>
      <c r="B23" s="30">
        <v>1806.25</v>
      </c>
      <c r="D23" s="36">
        <v>2060</v>
      </c>
      <c r="F23" s="2">
        <v>2000</v>
      </c>
      <c r="G23" s="2"/>
      <c r="H23" s="2">
        <f>F23</f>
        <v>2000</v>
      </c>
      <c r="I23" s="2"/>
      <c r="J23" s="44">
        <v>2000</v>
      </c>
      <c r="K23" s="10">
        <f t="shared" si="1"/>
        <v>193.75</v>
      </c>
      <c r="L23" s="12">
        <f>K23/B23</f>
        <v>0.10726643598615918</v>
      </c>
    </row>
    <row r="24" spans="1:12" x14ac:dyDescent="0.35">
      <c r="A24" t="s">
        <v>22</v>
      </c>
      <c r="B24" s="30">
        <v>25</v>
      </c>
      <c r="D24" s="36">
        <v>225</v>
      </c>
      <c r="F24" s="2">
        <v>511.39</v>
      </c>
      <c r="G24" s="2"/>
      <c r="H24" s="2">
        <f>F24+11.5</f>
        <v>522.89</v>
      </c>
      <c r="I24" s="2"/>
      <c r="J24" s="44">
        <f>(250*$J$35)+250</f>
        <v>262.5</v>
      </c>
      <c r="K24" s="10">
        <f t="shared" si="1"/>
        <v>486.39</v>
      </c>
      <c r="L24" s="12">
        <f>K24/B24</f>
        <v>19.4556</v>
      </c>
    </row>
    <row r="25" spans="1:12" x14ac:dyDescent="0.35">
      <c r="A25" t="s">
        <v>31</v>
      </c>
      <c r="B25" s="30">
        <v>400.95</v>
      </c>
      <c r="D25" s="36">
        <v>413</v>
      </c>
      <c r="F25" s="2">
        <v>200.2</v>
      </c>
      <c r="G25" s="2"/>
      <c r="H25" s="2">
        <f>F25*2</f>
        <v>400.4</v>
      </c>
      <c r="I25" s="2"/>
      <c r="J25" s="44">
        <f>(H25*$J$35)+H25</f>
        <v>420.41999999999996</v>
      </c>
      <c r="K25" s="10">
        <f t="shared" si="1"/>
        <v>-200.75</v>
      </c>
      <c r="L25" s="12">
        <f>K25/B25</f>
        <v>-0.5006858710562414</v>
      </c>
    </row>
    <row r="26" spans="1:12" x14ac:dyDescent="0.35">
      <c r="A26" t="s">
        <v>73</v>
      </c>
      <c r="B26" s="30">
        <v>0</v>
      </c>
      <c r="D26" s="36">
        <v>200</v>
      </c>
      <c r="F26" s="2">
        <v>0</v>
      </c>
      <c r="G26" s="2"/>
      <c r="H26" s="2">
        <v>50</v>
      </c>
      <c r="I26" s="2">
        <f>G26-H26</f>
        <v>-50</v>
      </c>
      <c r="J26" s="44">
        <v>100</v>
      </c>
      <c r="K26" s="10">
        <f t="shared" si="1"/>
        <v>0</v>
      </c>
      <c r="L26" s="12">
        <v>0</v>
      </c>
    </row>
    <row r="27" spans="1:12" x14ac:dyDescent="0.35">
      <c r="A27" t="s">
        <v>52</v>
      </c>
      <c r="B27" s="30">
        <v>137</v>
      </c>
      <c r="D27" s="36">
        <v>141</v>
      </c>
      <c r="F27" s="2">
        <v>140</v>
      </c>
      <c r="G27" s="2"/>
      <c r="H27" s="2">
        <f>F27</f>
        <v>140</v>
      </c>
      <c r="I27" s="2"/>
      <c r="J27" s="44">
        <f>(H27*$J$35)+H27</f>
        <v>147</v>
      </c>
      <c r="K27" s="10">
        <f t="shared" si="1"/>
        <v>3</v>
      </c>
      <c r="L27" s="12">
        <f>K27/B27</f>
        <v>2.1897810218978103E-2</v>
      </c>
    </row>
    <row r="28" spans="1:12" x14ac:dyDescent="0.35">
      <c r="A28" t="s">
        <v>32</v>
      </c>
      <c r="B28" s="30">
        <v>0</v>
      </c>
      <c r="D28" s="36">
        <v>150</v>
      </c>
      <c r="F28" s="2">
        <v>278.36</v>
      </c>
      <c r="G28" s="2"/>
      <c r="H28" s="2">
        <f>F28</f>
        <v>278.36</v>
      </c>
      <c r="I28" s="2"/>
      <c r="J28" s="44">
        <v>150</v>
      </c>
      <c r="K28" s="10">
        <f t="shared" si="1"/>
        <v>278.36</v>
      </c>
      <c r="L28" s="12" t="e">
        <f>K28/B28</f>
        <v>#DIV/0!</v>
      </c>
    </row>
    <row r="29" spans="1:12" x14ac:dyDescent="0.35">
      <c r="A29" t="s">
        <v>8</v>
      </c>
      <c r="B29" s="30">
        <v>1448.0099999999998</v>
      </c>
      <c r="D29" s="36">
        <v>895</v>
      </c>
      <c r="F29" s="2">
        <v>786.67</v>
      </c>
      <c r="G29" s="2"/>
      <c r="H29" s="2">
        <f>F29+12</f>
        <v>798.67</v>
      </c>
      <c r="I29" s="2">
        <f>G29-H29</f>
        <v>-798.67</v>
      </c>
      <c r="J29" s="44">
        <v>800</v>
      </c>
      <c r="K29" s="10">
        <f t="shared" si="1"/>
        <v>-661.3399999999998</v>
      </c>
      <c r="L29" s="12">
        <f>K29/B29</f>
        <v>-0.45672336517012996</v>
      </c>
    </row>
    <row r="30" spans="1:12" x14ac:dyDescent="0.35">
      <c r="A30" t="s">
        <v>9</v>
      </c>
      <c r="B30" s="30">
        <v>1983.93</v>
      </c>
      <c r="D30" s="36">
        <v>0</v>
      </c>
      <c r="F30" s="2">
        <v>0</v>
      </c>
      <c r="G30" s="2"/>
      <c r="H30" s="2">
        <f>F30</f>
        <v>0</v>
      </c>
      <c r="I30" s="2">
        <f>G30-H30</f>
        <v>0</v>
      </c>
      <c r="J30" s="44">
        <v>0</v>
      </c>
      <c r="K30" s="10">
        <f t="shared" si="1"/>
        <v>-1983.93</v>
      </c>
      <c r="L30" s="12">
        <v>1</v>
      </c>
    </row>
    <row r="31" spans="1:12" x14ac:dyDescent="0.35">
      <c r="A31" t="s">
        <v>10</v>
      </c>
      <c r="B31" s="30">
        <v>0</v>
      </c>
      <c r="D31" s="36">
        <v>300</v>
      </c>
      <c r="F31" s="2">
        <v>100</v>
      </c>
      <c r="G31" s="2"/>
      <c r="H31" s="2">
        <f>F31</f>
        <v>100</v>
      </c>
      <c r="I31" s="2"/>
      <c r="J31" s="44">
        <v>0</v>
      </c>
      <c r="K31" s="10">
        <f t="shared" si="1"/>
        <v>100</v>
      </c>
      <c r="L31" s="12">
        <v>0</v>
      </c>
    </row>
    <row r="32" spans="1:12" x14ac:dyDescent="0.35">
      <c r="A32" t="s">
        <v>11</v>
      </c>
      <c r="B32" s="31">
        <v>1222.1300000000001</v>
      </c>
      <c r="D32" s="38">
        <v>150</v>
      </c>
      <c r="F32" s="8">
        <v>0</v>
      </c>
      <c r="G32" s="8"/>
      <c r="H32" s="8">
        <v>1937.83</v>
      </c>
      <c r="J32" s="45">
        <v>150</v>
      </c>
      <c r="K32" s="10">
        <f t="shared" si="1"/>
        <v>-1222.1300000000001</v>
      </c>
      <c r="L32" s="12">
        <v>0</v>
      </c>
    </row>
    <row r="33" spans="1:12" x14ac:dyDescent="0.35">
      <c r="A33" s="1"/>
      <c r="B33" s="32">
        <f>SUM(B16:B32)</f>
        <v>13771.23</v>
      </c>
      <c r="C33" s="24">
        <f t="shared" ref="C33:F33" si="2">SUM(C16:C32)</f>
        <v>0</v>
      </c>
      <c r="D33" s="39">
        <f t="shared" si="2"/>
        <v>12199</v>
      </c>
      <c r="E33" s="39">
        <f t="shared" si="2"/>
        <v>0</v>
      </c>
      <c r="F33" s="39">
        <f t="shared" si="2"/>
        <v>9987.590000000002</v>
      </c>
      <c r="G33" s="24">
        <v>45.8</v>
      </c>
      <c r="H33" s="24">
        <f>SUM(H16:H32)</f>
        <v>13266.28</v>
      </c>
      <c r="I33" s="24"/>
      <c r="J33" s="46">
        <f>SUM(J16:J32)</f>
        <v>11223.030500000001</v>
      </c>
      <c r="K33" s="10">
        <f t="shared" si="1"/>
        <v>-3783.6399999999976</v>
      </c>
      <c r="L33" s="12">
        <f>K33/B33</f>
        <v>-0.27474960479201915</v>
      </c>
    </row>
    <row r="34" spans="1:12" x14ac:dyDescent="0.35">
      <c r="A34" s="1"/>
      <c r="B34" s="30"/>
      <c r="D34" s="2"/>
      <c r="E34" s="2"/>
      <c r="F34" s="2"/>
      <c r="G34" s="2">
        <v>45.8</v>
      </c>
      <c r="H34" s="2"/>
      <c r="I34" s="2"/>
      <c r="J34" s="34"/>
    </row>
    <row r="35" spans="1:12" x14ac:dyDescent="0.35">
      <c r="A35" s="1"/>
      <c r="B35" s="30"/>
      <c r="D35" s="2"/>
      <c r="E35" s="2"/>
      <c r="F35" s="2"/>
      <c r="G35" s="2">
        <v>100</v>
      </c>
      <c r="H35" s="2"/>
      <c r="I35" s="2"/>
      <c r="J35" s="35">
        <v>0.05</v>
      </c>
    </row>
    <row r="36" spans="1:12" x14ac:dyDescent="0.35">
      <c r="A36" s="1"/>
      <c r="B36" s="30"/>
      <c r="D36" s="2"/>
      <c r="E36" s="2"/>
      <c r="F36" s="2"/>
      <c r="G36" s="2">
        <v>168</v>
      </c>
      <c r="H36" s="2"/>
      <c r="I36" s="2">
        <f>G36-H36</f>
        <v>168</v>
      </c>
      <c r="J36" s="34"/>
    </row>
    <row r="37" spans="1:12" x14ac:dyDescent="0.35">
      <c r="A37" s="1"/>
      <c r="B37" s="30"/>
      <c r="C37" s="9"/>
      <c r="D37" s="2"/>
      <c r="E37" s="2"/>
      <c r="F37" s="2"/>
      <c r="G37" s="2">
        <v>182.8</v>
      </c>
      <c r="H37" s="2"/>
      <c r="I37" s="2"/>
      <c r="J37" s="34"/>
    </row>
    <row r="38" spans="1:12" x14ac:dyDescent="0.35">
      <c r="A38" s="1" t="s">
        <v>85</v>
      </c>
      <c r="B38" s="32">
        <v>10323.51</v>
      </c>
      <c r="C38" s="9"/>
      <c r="D38" s="24"/>
      <c r="E38" s="24"/>
      <c r="F38" s="24"/>
      <c r="G38" s="24">
        <v>182.8</v>
      </c>
      <c r="H38" s="24">
        <f>B42</f>
        <v>11371.43</v>
      </c>
      <c r="I38" s="24"/>
      <c r="J38" s="46">
        <f>H42</f>
        <v>10442.56</v>
      </c>
    </row>
    <row r="39" spans="1:12" x14ac:dyDescent="0.35">
      <c r="A39" s="1" t="s">
        <v>86</v>
      </c>
      <c r="B39" s="31">
        <f>B13</f>
        <v>14819.15</v>
      </c>
      <c r="D39" s="2"/>
      <c r="E39" s="2"/>
      <c r="F39" s="2"/>
      <c r="G39" s="2">
        <v>198.64</v>
      </c>
      <c r="H39" s="8">
        <f>H13</f>
        <v>12337.41</v>
      </c>
      <c r="I39" s="2">
        <f t="shared" ref="I39:J39" si="3">I13</f>
        <v>0</v>
      </c>
      <c r="J39" s="45">
        <f t="shared" si="3"/>
        <v>12126</v>
      </c>
    </row>
    <row r="40" spans="1:12" x14ac:dyDescent="0.35">
      <c r="A40" s="1"/>
      <c r="B40" s="30">
        <f>SUM(B38:B39)</f>
        <v>25142.66</v>
      </c>
      <c r="D40" s="2"/>
      <c r="E40" s="2"/>
      <c r="F40" s="30"/>
      <c r="G40" s="2">
        <v>454.89</v>
      </c>
      <c r="H40" s="2">
        <f>SUM(H38:H39)</f>
        <v>23708.84</v>
      </c>
      <c r="I40" s="2">
        <f t="shared" ref="I40:J40" si="4">SUM(I38:I39)</f>
        <v>0</v>
      </c>
      <c r="J40" s="44">
        <f t="shared" si="4"/>
        <v>22568.559999999998</v>
      </c>
    </row>
    <row r="41" spans="1:12" x14ac:dyDescent="0.35">
      <c r="A41" s="1" t="s">
        <v>87</v>
      </c>
      <c r="B41" s="31">
        <f>B33</f>
        <v>13771.23</v>
      </c>
      <c r="D41" s="2"/>
      <c r="E41" s="2"/>
      <c r="F41" s="2"/>
      <c r="G41" s="2">
        <v>785.02</v>
      </c>
      <c r="H41" s="8">
        <f>H33</f>
        <v>13266.28</v>
      </c>
      <c r="I41" s="2">
        <f t="shared" ref="I41:J41" si="5">I33</f>
        <v>0</v>
      </c>
      <c r="J41" s="45">
        <f t="shared" si="5"/>
        <v>11223.030500000001</v>
      </c>
    </row>
    <row r="42" spans="1:12" x14ac:dyDescent="0.35">
      <c r="A42" s="51" t="s">
        <v>88</v>
      </c>
      <c r="B42" s="32">
        <f>B40-B41</f>
        <v>11371.43</v>
      </c>
      <c r="C42" s="9"/>
      <c r="D42" s="24"/>
      <c r="E42" s="24"/>
      <c r="F42" s="32"/>
      <c r="G42" s="24">
        <v>25</v>
      </c>
      <c r="H42" s="24">
        <f>H40-H41</f>
        <v>10442.56</v>
      </c>
      <c r="I42" s="24">
        <f t="shared" ref="I42:J42" si="6">I40-I41</f>
        <v>0</v>
      </c>
      <c r="J42" s="46">
        <f t="shared" si="6"/>
        <v>11345.529499999997</v>
      </c>
    </row>
    <row r="43" spans="1:12" x14ac:dyDescent="0.35">
      <c r="B43" s="30"/>
      <c r="D43" s="2"/>
      <c r="E43" s="2"/>
      <c r="F43" s="2"/>
      <c r="G43" s="2">
        <v>428.28</v>
      </c>
      <c r="H43" s="2"/>
      <c r="I43" s="2">
        <f>G43-H43</f>
        <v>428.28</v>
      </c>
      <c r="J43" s="2"/>
    </row>
    <row r="44" spans="1:12" x14ac:dyDescent="0.35">
      <c r="A44" s="9" t="s">
        <v>33</v>
      </c>
      <c r="B44" s="30"/>
      <c r="C44" s="9"/>
      <c r="D44" s="2"/>
      <c r="E44" s="2"/>
      <c r="F44" s="2"/>
      <c r="G44" s="2">
        <v>26</v>
      </c>
      <c r="H44" s="2"/>
      <c r="I44" s="2"/>
      <c r="J44" s="2"/>
    </row>
    <row r="45" spans="1:12" x14ac:dyDescent="0.35">
      <c r="A45" t="s">
        <v>34</v>
      </c>
      <c r="B45" s="30">
        <v>8854.36</v>
      </c>
      <c r="G45" s="2">
        <v>26</v>
      </c>
      <c r="H45" s="2"/>
      <c r="I45" s="2"/>
      <c r="J45" s="2"/>
    </row>
    <row r="46" spans="1:12" x14ac:dyDescent="0.35">
      <c r="A46" t="s">
        <v>35</v>
      </c>
      <c r="B46" s="31">
        <v>2517.0700000000002</v>
      </c>
      <c r="F46" s="2"/>
      <c r="G46" s="2">
        <v>45.6</v>
      </c>
      <c r="H46" s="2"/>
      <c r="I46" s="2"/>
      <c r="J46" s="2"/>
    </row>
    <row r="47" spans="1:12" x14ac:dyDescent="0.35">
      <c r="A47" s="9" t="s">
        <v>81</v>
      </c>
      <c r="B47" s="32">
        <f>SUM(B45:B46)</f>
        <v>11371.43</v>
      </c>
      <c r="G47" s="2">
        <v>45.8</v>
      </c>
      <c r="H47" s="2"/>
      <c r="I47" s="2"/>
      <c r="J47" s="2"/>
      <c r="L47" s="1"/>
    </row>
    <row r="48" spans="1:12" x14ac:dyDescent="0.35">
      <c r="G48">
        <v>183</v>
      </c>
    </row>
    <row r="49" spans="7:9" x14ac:dyDescent="0.35">
      <c r="G49">
        <v>182.8</v>
      </c>
    </row>
    <row r="50" spans="7:9" x14ac:dyDescent="0.35">
      <c r="G50">
        <v>35</v>
      </c>
    </row>
    <row r="51" spans="7:9" x14ac:dyDescent="0.35">
      <c r="G51">
        <v>80</v>
      </c>
      <c r="I51">
        <f>G51-H51</f>
        <v>80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Budget for Year Ended 31st March 2024</oddHeader>
  </headerFooter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Accounts 2024-25</vt:lpstr>
      <vt:lpstr>Income</vt:lpstr>
      <vt:lpstr>Expenditure</vt:lpstr>
      <vt:lpstr>Budget 2025-26</vt:lpstr>
      <vt:lpstr>Budget 2024-25</vt:lpstr>
      <vt:lpstr>Bank Reconciliation</vt:lpstr>
      <vt:lpstr>Budget 2023-24</vt:lpstr>
      <vt:lpstr>'Accounts 2024-25'!Print_Area</vt:lpstr>
      <vt:lpstr>'Budget 2023-24'!Print_Area</vt:lpstr>
      <vt:lpstr>'Budget 2024-25'!Print_Area</vt:lpstr>
      <vt:lpstr>'Budget 2025-26'!Print_Area</vt:lpstr>
      <vt:lpstr>Expenditure!Print_Area</vt:lpstr>
      <vt:lpstr>Income!Print_Area</vt:lpstr>
      <vt:lpstr>Expenditure!Print_Titles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Best</cp:lastModifiedBy>
  <cp:lastPrinted>2025-05-28T08:43:29Z</cp:lastPrinted>
  <dcterms:created xsi:type="dcterms:W3CDTF">2016-08-31T08:40:40Z</dcterms:created>
  <dcterms:modified xsi:type="dcterms:W3CDTF">2025-05-28T08:44:39Z</dcterms:modified>
</cp:coreProperties>
</file>